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Общая\Всем\ПРОЕКТЫ ДУМЫ\Проекты на 20.12.2024\замена 17-127\"/>
    </mc:Choice>
  </mc:AlternateContent>
  <bookViews>
    <workbookView xWindow="-120" yWindow="-120" windowWidth="15480" windowHeight="11640"/>
  </bookViews>
  <sheets>
    <sheet name="Приложение 5" sheetId="2" r:id="rId1"/>
  </sheets>
  <definedNames>
    <definedName name="_xlnm.Print_Titles" localSheetId="0">'Приложение 5'!$10:$10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4" i="2" l="1"/>
  <c r="E66" i="2" l="1"/>
  <c r="E144" i="2"/>
  <c r="D49" i="2"/>
  <c r="E48" i="2"/>
  <c r="E76" i="2"/>
  <c r="E133" i="2"/>
  <c r="E74" i="2"/>
  <c r="E72" i="2"/>
  <c r="E68" i="2"/>
  <c r="E94" i="2"/>
  <c r="E65" i="2"/>
  <c r="E49" i="2"/>
  <c r="E24" i="2"/>
  <c r="E23" i="2"/>
  <c r="E22" i="2"/>
  <c r="E61" i="2"/>
  <c r="E18" i="2"/>
  <c r="E17" i="2"/>
  <c r="E16" i="2"/>
  <c r="E14" i="2"/>
  <c r="E36" i="2"/>
  <c r="E38" i="2"/>
  <c r="E84" i="2"/>
  <c r="E83" i="2"/>
  <c r="E30" i="2" l="1"/>
  <c r="E70" i="2"/>
  <c r="E121" i="2" l="1"/>
  <c r="E101" i="2"/>
  <c r="E103" i="2"/>
  <c r="E58" i="2"/>
  <c r="E112" i="2"/>
  <c r="E28" i="2"/>
  <c r="D25" i="2"/>
  <c r="D26" i="2"/>
  <c r="E25" i="2"/>
  <c r="E123" i="2" l="1"/>
  <c r="E80" i="2" l="1"/>
  <c r="E115" i="2"/>
  <c r="E78" i="2"/>
  <c r="E106" i="2"/>
  <c r="E104" i="2"/>
  <c r="E86" i="2" l="1"/>
  <c r="E114" i="2"/>
  <c r="E116" i="2"/>
  <c r="E107" i="2"/>
  <c r="E99" i="2" l="1"/>
  <c r="E97" i="2"/>
  <c r="D133" i="2" l="1"/>
  <c r="D83" i="2"/>
  <c r="D70" i="2"/>
  <c r="D58" i="2"/>
  <c r="E130" i="2" l="1"/>
  <c r="D115" i="2"/>
  <c r="D116" i="2"/>
  <c r="B80" i="2"/>
  <c r="D114" i="2" l="1"/>
  <c r="E113" i="2" l="1"/>
  <c r="E122" i="2"/>
  <c r="D113" i="2" l="1"/>
  <c r="E35" i="2" l="1"/>
  <c r="D35" i="2" s="1"/>
  <c r="E37" i="2"/>
  <c r="D36" i="2"/>
  <c r="D38" i="2"/>
  <c r="D37" i="2" l="1"/>
  <c r="E98" i="2" l="1"/>
  <c r="D99" i="2"/>
  <c r="E96" i="2"/>
  <c r="D98" i="2" l="1"/>
  <c r="E21" i="2"/>
  <c r="D24" i="2"/>
  <c r="E93" i="2" l="1"/>
  <c r="D54" i="2"/>
  <c r="D95" i="2"/>
  <c r="E57" i="2" l="1"/>
  <c r="D57" i="2" s="1"/>
  <c r="D56" i="2"/>
  <c r="E55" i="2"/>
  <c r="D55" i="2" s="1"/>
  <c r="E60" i="2"/>
  <c r="E59" i="2" s="1"/>
  <c r="D59" i="2" s="1"/>
  <c r="D60" i="2" l="1"/>
  <c r="D53" i="2" l="1"/>
  <c r="D69" i="2" l="1"/>
  <c r="E53" i="2"/>
  <c r="E52" i="2" s="1"/>
  <c r="E51" i="2" s="1"/>
  <c r="D51" i="2" s="1"/>
  <c r="D52" i="2" l="1"/>
  <c r="D48" i="2"/>
  <c r="E47" i="2"/>
  <c r="D107" i="2"/>
  <c r="D106" i="2"/>
  <c r="D88" i="2"/>
  <c r="E87" i="2"/>
  <c r="D87" i="2" s="1"/>
  <c r="D28" i="2"/>
  <c r="E27" i="2"/>
  <c r="D27" i="2" l="1"/>
  <c r="E50" i="2"/>
  <c r="D50" i="2" s="1"/>
  <c r="E41" i="2" l="1"/>
  <c r="E85" i="2" l="1"/>
  <c r="B85" i="2"/>
  <c r="D86" i="2"/>
  <c r="D85" i="2" l="1"/>
  <c r="E69" i="2" l="1"/>
  <c r="E82" i="2"/>
  <c r="E81" i="2" l="1"/>
  <c r="D82" i="2"/>
  <c r="D122" i="2"/>
  <c r="D123" i="2"/>
  <c r="D124" i="2"/>
  <c r="D125" i="2"/>
  <c r="D126" i="2"/>
  <c r="D127" i="2"/>
  <c r="D129" i="2"/>
  <c r="E128" i="2"/>
  <c r="D128" i="2" s="1"/>
  <c r="E111" i="2"/>
  <c r="E110" i="2" s="1"/>
  <c r="D112" i="2"/>
  <c r="E142" i="2"/>
  <c r="D143" i="2"/>
  <c r="D61" i="2"/>
  <c r="D111" i="2" l="1"/>
  <c r="D110" i="2"/>
  <c r="D142" i="2"/>
  <c r="D74" i="2" l="1"/>
  <c r="D16" i="2"/>
  <c r="D23" i="2"/>
  <c r="D76" i="2"/>
  <c r="D78" i="2"/>
  <c r="D80" i="2"/>
  <c r="D84" i="2"/>
  <c r="D91" i="2"/>
  <c r="D94" i="2"/>
  <c r="D97" i="2"/>
  <c r="D101" i="2"/>
  <c r="D103" i="2"/>
  <c r="D105" i="2"/>
  <c r="E13" i="2" l="1"/>
  <c r="E15" i="2"/>
  <c r="E29" i="2"/>
  <c r="E31" i="2"/>
  <c r="D31" i="2" s="1"/>
  <c r="E33" i="2"/>
  <c r="E39" i="2"/>
  <c r="D39" i="2" s="1"/>
  <c r="D41" i="2"/>
  <c r="E44" i="2"/>
  <c r="D47" i="2"/>
  <c r="E64" i="2"/>
  <c r="D64" i="2" s="1"/>
  <c r="E67" i="2"/>
  <c r="E71" i="2"/>
  <c r="E73" i="2"/>
  <c r="E75" i="2"/>
  <c r="E77" i="2"/>
  <c r="D77" i="2" s="1"/>
  <c r="E79" i="2"/>
  <c r="E90" i="2"/>
  <c r="D90" i="2" s="1"/>
  <c r="E100" i="2"/>
  <c r="E102" i="2"/>
  <c r="D104" i="2"/>
  <c r="E120" i="2"/>
  <c r="E119" i="2" s="1"/>
  <c r="E140" i="2"/>
  <c r="D73" i="2"/>
  <c r="D121" i="2"/>
  <c r="D14" i="2"/>
  <c r="D17" i="2"/>
  <c r="D18" i="2"/>
  <c r="D22" i="2"/>
  <c r="D30" i="2"/>
  <c r="D32" i="2"/>
  <c r="D34" i="2"/>
  <c r="D40" i="2"/>
  <c r="D42" i="2"/>
  <c r="D43" i="2"/>
  <c r="D45" i="2"/>
  <c r="D65" i="2"/>
  <c r="D68" i="2"/>
  <c r="D72" i="2"/>
  <c r="D130" i="2"/>
  <c r="D131" i="2"/>
  <c r="D141" i="2"/>
  <c r="E12" i="2" l="1"/>
  <c r="D12" i="2" s="1"/>
  <c r="D44" i="2"/>
  <c r="D29" i="2"/>
  <c r="D102" i="2"/>
  <c r="E92" i="2"/>
  <c r="D92" i="2" s="1"/>
  <c r="D100" i="2"/>
  <c r="D75" i="2"/>
  <c r="D66" i="2"/>
  <c r="D13" i="2"/>
  <c r="D93" i="2"/>
  <c r="D71" i="2"/>
  <c r="E89" i="2"/>
  <c r="D89" i="2" s="1"/>
  <c r="D33" i="2"/>
  <c r="D79" i="2"/>
  <c r="D140" i="2"/>
  <c r="D120" i="2"/>
  <c r="D67" i="2"/>
  <c r="E46" i="2"/>
  <c r="D46" i="2" s="1"/>
  <c r="D96" i="2"/>
  <c r="D15" i="2"/>
  <c r="D21" i="2"/>
  <c r="D81" i="2"/>
  <c r="E63" i="2"/>
  <c r="D63" i="2" s="1"/>
  <c r="D119" i="2" l="1"/>
</calcChain>
</file>

<file path=xl/sharedStrings.xml><?xml version="1.0" encoding="utf-8"?>
<sst xmlns="http://schemas.openxmlformats.org/spreadsheetml/2006/main" count="352" uniqueCount="146">
  <si>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</si>
  <si>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</si>
  <si>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</si>
  <si>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</si>
  <si>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</si>
  <si>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</si>
  <si>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</si>
  <si>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</si>
  <si>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</si>
  <si>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</si>
  <si>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</si>
  <si>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</si>
  <si>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</si>
  <si>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</si>
  <si>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</si>
  <si>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</si>
  <si>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</si>
  <si>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</si>
  <si>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</si>
  <si>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</si>
  <si>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</si>
  <si>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</si>
  <si>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</si>
  <si>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</si>
  <si>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</si>
  <si>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</si>
  <si>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</si>
  <si>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</si>
  <si>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</si>
  <si>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</si>
  <si>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</si>
  <si>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</si>
  <si>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</si>
  <si>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</si>
  <si>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</si>
  <si>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</si>
  <si>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</si>
  <si>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</si>
  <si>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</si>
  <si>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</si>
  <si>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</si>
  <si>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</si>
  <si>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</si>
  <si>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</si>
  <si>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</si>
  <si>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</si>
  <si>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</si>
  <si>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</si>
  <si>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</si>
  <si>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</si>
  <si>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</si>
  <si>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</si>
  <si>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</si>
  <si>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1200000000</t>
  </si>
  <si>
    <t>1300000000</t>
  </si>
  <si>
    <t>13000L0160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</si>
  <si>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</si>
  <si>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</si>
  <si>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</si>
  <si>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</si>
  <si>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</si>
  <si>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</si>
  <si>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</si>
  <si>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</si>
  <si>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 xml:space="preserve">к решению Нижнеивкинской </t>
  </si>
  <si>
    <t>поселковой Думы</t>
  </si>
  <si>
    <t>Распределение</t>
  </si>
  <si>
    <t>Наименование показателя</t>
  </si>
  <si>
    <t>1400005760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</si>
  <si>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</si>
  <si>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</si>
  <si>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</si>
  <si>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</si>
  <si>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 xml:space="preserve">            Закупка товаров, работ и услуг для обеспечения государственных (муниципальных) нужд</t>
  </si>
  <si>
    <t>Приложение № 5</t>
  </si>
  <si>
    <t>080001403А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</si>
  <si>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2023-2027 годы</t>
  </si>
  <si>
    <t xml:space="preserve">  Муниципальная программа "Управление муниципальным имуществом Нижнеивкинского городского поселения 2023-2027 гг"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</si>
  <si>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</si>
  <si>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</si>
  <si>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Муниципальная программа "Развитие физической культуры и спорта в Нижнеивкинском городском поселении 2023-2027 гг"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</si>
  <si>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</si>
  <si>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>Выравнивание обеспеченности муниципальных образований по реализации ими их отдельных расходных обязательств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</si>
  <si>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</si>
  <si>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</si>
  <si>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</si>
  <si>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</si>
  <si>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>08000L5190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</si>
  <si>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2023-2027годы»</t>
  </si>
  <si>
    <t>0400000000</t>
  </si>
  <si>
    <t>0400001040</t>
  </si>
  <si>
    <t xml:space="preserve">      Расходы на ремонт проезжей части пер.Солнечный</t>
  </si>
  <si>
    <t xml:space="preserve"> Закупка товаров, работ и услуг для обеспеченияпо управления, содержания, и ремонта муниципального имущества</t>
  </si>
  <si>
    <t xml:space="preserve">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</si>
  <si>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    Создание и деятельность в муниципальных образованиях административной (ых) комисии (ий)</t>
  </si>
  <si>
    <t xml:space="preserve">              Закупка товаров, работ и услуг для обеспечения государственных (муниципальных) нужд</t>
  </si>
  <si>
    <t xml:space="preserve">Муниципальная программа "Обеспечение безопасности жизнедеятельности населения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</si>
  <si>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</si>
  <si>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</si>
  <si>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0300000000</t>
  </si>
  <si>
    <t xml:space="preserve">Подпрограмма "Профилактика правонарушений и борьба с преступностью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</si>
  <si>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</si>
  <si>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0310000000</t>
  </si>
  <si>
    <t>0310015160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</si>
  <si>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</si>
  <si>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</si>
  <si>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t>031004010</t>
  </si>
  <si>
    <t>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</si>
  <si>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Капитальный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</si>
  <si>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Иные бюджетные ассигнования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</si>
  <si>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</si>
  <si>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</si>
  <si>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</si>
  <si>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 xml:space="preserve"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2024 год </t>
  </si>
  <si>
    <t>Сумма всего (тыс.руб.)       на 2024</t>
  </si>
  <si>
    <t>Сумма всего (руб.)       на 2024</t>
  </si>
  <si>
    <t>Повышение уровня подготовки ОМС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</si>
  <si>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</si>
  <si>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</si>
  <si>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>120F215370</t>
  </si>
  <si>
    <t xml:space="preserve">  Муниципальная программа "Охрана окружающей среды, воспроизводство и использование природных ресурсов на 2023-2027 годы"</t>
  </si>
  <si>
    <t xml:space="preserve">    Создание мест (площадок) накопления тко</t>
  </si>
  <si>
    <t>1300Ж15540</t>
  </si>
  <si>
    <t>Софинансирование расходов по созданию мест (площадок) накопления тко</t>
  </si>
  <si>
    <t>Уличное освещение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</si>
  <si>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</si>
  <si>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</si>
  <si>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>120F2S5370</t>
  </si>
  <si>
    <t>0102051180</t>
  </si>
  <si>
    <t xml:space="preserve"> 0312015160</t>
  </si>
  <si>
    <t>03120S5160</t>
  </si>
  <si>
    <t xml:space="preserve">          Софинансирование расходы на ремонт проезжей части пер.Солнечный</t>
  </si>
  <si>
    <t>11028S5210</t>
  </si>
  <si>
    <t>0101415560</t>
  </si>
  <si>
    <t>01014S5560</t>
  </si>
  <si>
    <t>0102016050</t>
  </si>
  <si>
    <t>1300ЖS5540</t>
  </si>
  <si>
    <t>11Q5117170</t>
  </si>
  <si>
    <t>11G51S7170</t>
  </si>
  <si>
    <t>07Q51S7170</t>
  </si>
  <si>
    <t>07Q5117170</t>
  </si>
  <si>
    <t>11U0F15178</t>
  </si>
  <si>
    <t>11U0FS5178</t>
  </si>
  <si>
    <t>Достижение показателей деятельности органов исполнительной власти (органов местного самоуправления) Кировской области</t>
  </si>
  <si>
    <t>01Q1455490</t>
  </si>
  <si>
    <r>
      <t xml:space="preserve">от 20.12.2024 №17/127 </t>
    </r>
    <r>
      <rPr>
        <sz val="12"/>
        <color rgb="FFFF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</si>
</sst>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11" fontId="6" fillId="0" borderId="0" xfId="0" applyNumberFormat="1" applyFont="1" applyAlignment="1">
      <alignment wrapText="1"/>
    </xf>
    <xf numFmtId="49" fontId="11" fillId="0" borderId="0" xfId="0" applyNumberFormat="1" applyFont="1"/>
    <xf numFmtId="165" fontId="1" fillId="0" borderId="0" xfId="25" applyNumberFormat="1" applyFont="1"/>
    <xf numFmtId="49" fontId="0" fillId="0" borderId="0" xfId="0" applyNumberFormat="1"/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9" fontId="8" fillId="0" borderId="2" xfId="7" applyNumberFormat="1" applyFont="1" applyFill="1" applyProtection="1">
      <alignment horizontal="center" vertical="top" shrinkToFit="1"/>
    </xf>
    <xf numFmtId="4" fontId="8" fillId="5" borderId="9" xfId="8" applyNumberFormat="1" applyFont="1" applyFill="1" applyBorder="1" applyProtection="1">
      <alignment horizontal="right" vertical="top" shrinkToFit="1"/>
    </xf>
    <xf numFmtId="4" fontId="8" fillId="5" borderId="2" xfId="8" applyNumberFormat="1" applyFont="1" applyFill="1" applyProtection="1">
      <alignment horizontal="right" vertical="top" shrinkToFi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49" fontId="7" fillId="0" borderId="5" xfId="7" applyNumberFormat="1" applyFont="1" applyFill="1" applyBorder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0" fontId="4" fillId="0" borderId="1" xfId="2" applyNumberFormat="1" applyFont="1" applyProtection="1"/>
    <xf numFmtId="0" fontId="17" fillId="0" borderId="0" xfId="0" applyFont="1" applyProtection="1">
      <protection locked="0"/>
    </xf>
    <xf numFmtId="0" fontId="9" fillId="0" borderId="5" xfId="0" applyFont="1" applyBorder="1" applyAlignment="1">
      <alignment horizontal="left" wrapText="1"/>
    </xf>
    <xf numFmtId="166" fontId="0" fillId="0" borderId="0" xfId="0" applyNumberFormat="1" applyProtection="1">
      <protection locked="0"/>
    </xf>
    <xf numFmtId="0" fontId="8" fillId="0" borderId="6" xfId="6" applyNumberFormat="1" applyFont="1" applyBorder="1" applyAlignment="1" applyProtection="1">
      <alignment vertical="top" wrapText="1"/>
    </xf>
    <xf numFmtId="0" fontId="18" fillId="6" borderId="5" xfId="28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0" fontId="8" fillId="0" borderId="4" xfId="28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>
      <alignment wrapText="1"/>
    </xf>
    <xf numFmtId="0" fontId="9" fillId="0" borderId="0" xfId="0" applyFont="1"/>
    <xf numFmtId="49" fontId="8" fillId="0" borderId="13" xfId="7" applyNumberFormat="1" applyFont="1" applyFill="1" applyBorder="1" applyProtection="1">
      <alignment horizontal="center" vertical="top" shrinkToFit="1"/>
    </xf>
    <xf numFmtId="0" fontId="9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9" fillId="0" borderId="5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8" fillId="0" borderId="5" xfId="6" applyNumberFormat="1" applyFont="1" applyBorder="1" applyAlignment="1" applyProtection="1">
      <alignment vertical="top" wrapText="1"/>
    </xf>
    <xf numFmtId="4" fontId="16" fillId="5" borderId="2" xfId="8" applyNumberFormat="1" applyFont="1" applyFill="1" applyProtection="1">
      <alignment horizontal="right" vertical="top" shrinkToFit="1"/>
    </xf>
    <xf numFmtId="166" fontId="16" fillId="0" borderId="5" xfId="20" applyNumberFormat="1" applyFont="1" applyFill="1" applyBorder="1" applyAlignment="1">
      <alignment horizontal="center" vertical="top" shrinkToFit="1"/>
    </xf>
    <xf numFmtId="166" fontId="20" fillId="0" borderId="5" xfId="20" applyNumberFormat="1" applyFont="1" applyFill="1" applyBorder="1" applyAlignment="1">
      <alignment horizontal="center" vertical="top" shrinkToFi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0" xfId="10" applyNumberFormat="1" applyFont="1" applyFill="1" applyBorder="1" applyAlignment="1" applyProtection="1">
      <alignment horizontal="left"/>
    </xf>
    <xf numFmtId="166" fontId="7" fillId="0" borderId="11" xfId="10" applyNumberFormat="1" applyFont="1" applyFill="1" applyBorder="1" applyAlignment="1">
      <alignment horizontal="left"/>
    </xf>
    <xf numFmtId="166" fontId="7" fillId="0" borderId="12" xfId="10" applyNumberFormat="1" applyFont="1" applyFill="1" applyBorder="1" applyAlignment="1">
      <alignment horizontal="lef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6"/>
  <sheetViews>
    <sheetView showGridLines="0" tabSelected="1" view="pageBreakPreview" topLeftCell="A60" zoomScaleNormal="100" zoomScaleSheetLayoutView="100" workbookViewId="0">
      <selection activeCell="E120" sqref="E1:E1048576"/>
    </sheetView>
  </sheetViews>
  <sheetFormatPr defaultColWidth="9.109375" defaultRowHeight="15.6" outlineLevelRow="2" x14ac:dyDescent="0.3"/>
  <cols>
    <col min="1" max="1" width="65.5546875" style="8" customWidth="1"/>
    <col min="2" max="2" width="10.6640625" style="5" customWidth="1"/>
    <col min="3" max="3" width="7.6640625" style="5" customWidth="1"/>
    <col min="4" max="4" width="16" style="5" customWidth="1"/>
    <col min="5" max="5" width="13.5546875" style="5" hidden="1" customWidth="1"/>
    <col min="6" max="6" width="9.109375" style="1" customWidth="1"/>
    <col min="7" max="16384" width="9.109375" style="1"/>
  </cols>
  <sheetData>
    <row r="1" spans="1:6" x14ac:dyDescent="0.3">
      <c r="A1" s="9"/>
      <c r="B1" s="10" t="s">
        <v>74</v>
      </c>
      <c r="C1" s="11"/>
      <c r="D1" s="11"/>
    </row>
    <row r="2" spans="1:6" x14ac:dyDescent="0.3">
      <c r="A2" s="9"/>
      <c r="B2" s="10" t="s">
        <v>64</v>
      </c>
      <c r="C2" s="11"/>
      <c r="D2" s="11"/>
    </row>
    <row r="3" spans="1:6" x14ac:dyDescent="0.3">
      <c r="A3" s="9"/>
      <c r="B3" s="10" t="s">
        <v>65</v>
      </c>
      <c r="C3" s="11"/>
      <c r="D3" s="11"/>
    </row>
    <row r="4" spans="1:6" x14ac:dyDescent="0.3">
      <c r="A4" s="9"/>
      <c r="B4" s="10" t="s">
        <v>145</v>
      </c>
      <c r="C4" s="11"/>
      <c r="D4" s="11"/>
    </row>
    <row r="5" spans="1:6" x14ac:dyDescent="0.3">
      <c r="A5" s="9"/>
      <c r="B5" s="12"/>
      <c r="C5" s="11"/>
      <c r="D5" s="11"/>
    </row>
    <row r="6" spans="1:6" ht="17.399999999999999" x14ac:dyDescent="0.3">
      <c r="A6" s="67" t="s">
        <v>66</v>
      </c>
      <c r="B6" s="67"/>
      <c r="C6" s="67"/>
      <c r="D6" s="67"/>
      <c r="E6" s="67"/>
    </row>
    <row r="7" spans="1:6" ht="15.75" customHeight="1" x14ac:dyDescent="0.3">
      <c r="A7" s="68" t="s">
        <v>113</v>
      </c>
      <c r="B7" s="68"/>
      <c r="C7" s="68"/>
      <c r="D7" s="68"/>
      <c r="E7" s="68"/>
    </row>
    <row r="8" spans="1:6" ht="33.6" customHeight="1" x14ac:dyDescent="0.3">
      <c r="A8" s="68"/>
      <c r="B8" s="68"/>
      <c r="C8" s="68"/>
      <c r="D8" s="68"/>
      <c r="E8" s="68"/>
    </row>
    <row r="9" spans="1:6" ht="4.2" customHeight="1" x14ac:dyDescent="0.3">
      <c r="A9" s="77"/>
      <c r="B9" s="78"/>
      <c r="C9" s="78"/>
      <c r="D9" s="78"/>
      <c r="E9" s="78"/>
      <c r="F9" s="2"/>
    </row>
    <row r="10" spans="1:6" ht="42.75" customHeight="1" x14ac:dyDescent="0.3">
      <c r="A10" s="69" t="s">
        <v>67</v>
      </c>
      <c r="B10" s="71" t="s">
        <v>0</v>
      </c>
      <c r="C10" s="73" t="s">
        <v>1</v>
      </c>
      <c r="D10" s="75" t="s">
        <v>114</v>
      </c>
      <c r="E10" s="75" t="s">
        <v>115</v>
      </c>
      <c r="F10" s="2"/>
    </row>
    <row r="11" spans="1:6" ht="14.4" x14ac:dyDescent="0.3">
      <c r="A11" s="70"/>
      <c r="B11" s="72"/>
      <c r="C11" s="74"/>
      <c r="D11" s="76"/>
      <c r="E11" s="76"/>
      <c r="F11" s="2"/>
    </row>
    <row r="12" spans="1:6" ht="78" x14ac:dyDescent="0.3">
      <c r="A12" s="15" t="s">
        <v>76</v>
      </c>
      <c r="B12" s="17" t="s">
        <v>3</v>
      </c>
      <c r="C12" s="17" t="s">
        <v>2</v>
      </c>
      <c r="D12" s="18">
        <f>E12/1000-439.9</f>
        <v>6566.4692500000001</v>
      </c>
      <c r="E12" s="30">
        <f>E13+E15+E21+E29+E31+E33+E39+E41+E44+E27+E35+E37+E25</f>
        <v>7006369.25</v>
      </c>
      <c r="F12" s="2"/>
    </row>
    <row r="13" spans="1:6" outlineLevel="1" x14ac:dyDescent="0.3">
      <c r="A13" s="13" t="s">
        <v>4</v>
      </c>
      <c r="B13" s="14" t="s">
        <v>5</v>
      </c>
      <c r="C13" s="14" t="s">
        <v>2</v>
      </c>
      <c r="D13" s="16">
        <f>E13/1000</f>
        <v>982.69569999999999</v>
      </c>
      <c r="E13" s="28">
        <f>E14</f>
        <v>982695.7</v>
      </c>
      <c r="F13" s="2"/>
    </row>
    <row r="14" spans="1:6" ht="62.4" outlineLevel="2" x14ac:dyDescent="0.3">
      <c r="A14" s="6" t="s">
        <v>6</v>
      </c>
      <c r="B14" s="4" t="s">
        <v>5</v>
      </c>
      <c r="C14" s="4" t="s">
        <v>7</v>
      </c>
      <c r="D14" s="63">
        <f t="shared" ref="D14:D72" si="0">E14/1000</f>
        <v>982.69569999999999</v>
      </c>
      <c r="E14" s="62">
        <f>904700+41700-12500+53910-5114.3</f>
        <v>982695.7</v>
      </c>
      <c r="F14" s="2"/>
    </row>
    <row r="15" spans="1:6" outlineLevel="1" x14ac:dyDescent="0.3">
      <c r="A15" s="6" t="s">
        <v>8</v>
      </c>
      <c r="B15" s="4" t="s">
        <v>9</v>
      </c>
      <c r="C15" s="4" t="s">
        <v>2</v>
      </c>
      <c r="D15" s="63">
        <f>E15/1000</f>
        <v>3054.5267400000002</v>
      </c>
      <c r="E15" s="29">
        <f>E16+E17+E18</f>
        <v>3054526.74</v>
      </c>
      <c r="F15" s="2"/>
    </row>
    <row r="16" spans="1:6" ht="62.4" outlineLevel="2" x14ac:dyDescent="0.3">
      <c r="A16" s="6" t="s">
        <v>6</v>
      </c>
      <c r="B16" s="4" t="s">
        <v>9</v>
      </c>
      <c r="C16" s="4" t="s">
        <v>7</v>
      </c>
      <c r="D16" s="16">
        <f>E16/1000</f>
        <v>2475.2877000000003</v>
      </c>
      <c r="E16" s="29">
        <f>2574500+13900-113112.3</f>
        <v>2475287.7000000002</v>
      </c>
      <c r="F16" s="2"/>
    </row>
    <row r="17" spans="1:6" ht="31.2" outlineLevel="2" x14ac:dyDescent="0.3">
      <c r="A17" s="6" t="s">
        <v>10</v>
      </c>
      <c r="B17" s="4" t="s">
        <v>9</v>
      </c>
      <c r="C17" s="4" t="s">
        <v>11</v>
      </c>
      <c r="D17" s="16">
        <f t="shared" si="0"/>
        <v>508.49903999999998</v>
      </c>
      <c r="E17" s="29">
        <f>527634+196788.1+12500-228423.06</f>
        <v>508499.04</v>
      </c>
      <c r="F17" s="2"/>
    </row>
    <row r="18" spans="1:6" outlineLevel="2" x14ac:dyDescent="0.3">
      <c r="A18" s="6" t="s">
        <v>12</v>
      </c>
      <c r="B18" s="4" t="s">
        <v>9</v>
      </c>
      <c r="C18" s="4" t="s">
        <v>13</v>
      </c>
      <c r="D18" s="16">
        <f t="shared" si="0"/>
        <v>70.739999999999995</v>
      </c>
      <c r="E18" s="29">
        <f>70770+35000-35030</f>
        <v>70740</v>
      </c>
      <c r="F18" s="2"/>
    </row>
    <row r="19" spans="1:6" hidden="1" outlineLevel="2" x14ac:dyDescent="0.3">
      <c r="A19" s="6"/>
      <c r="B19" s="4"/>
      <c r="C19" s="4"/>
      <c r="D19" s="16"/>
      <c r="E19" s="29"/>
      <c r="F19" s="2"/>
    </row>
    <row r="20" spans="1:6" hidden="1" outlineLevel="2" x14ac:dyDescent="0.3">
      <c r="A20" s="6"/>
      <c r="B20" s="4"/>
      <c r="C20" s="4"/>
      <c r="D20" s="16"/>
      <c r="E20" s="29"/>
      <c r="F20" s="2"/>
    </row>
    <row r="21" spans="1:6" ht="31.2" outlineLevel="1" collapsed="1" x14ac:dyDescent="0.3">
      <c r="A21" s="6" t="s">
        <v>14</v>
      </c>
      <c r="B21" s="4" t="s">
        <v>15</v>
      </c>
      <c r="C21" s="4" t="s">
        <v>2</v>
      </c>
      <c r="D21" s="63">
        <f>E21/1000</f>
        <v>1766.3248100000001</v>
      </c>
      <c r="E21" s="29">
        <f>E22+E23+E24</f>
        <v>1766324.81</v>
      </c>
      <c r="F21" s="2"/>
    </row>
    <row r="22" spans="1:6" ht="62.4" outlineLevel="2" x14ac:dyDescent="0.3">
      <c r="A22" s="6" t="s">
        <v>6</v>
      </c>
      <c r="B22" s="4" t="s">
        <v>15</v>
      </c>
      <c r="C22" s="4" t="s">
        <v>7</v>
      </c>
      <c r="D22" s="16">
        <f t="shared" si="0"/>
        <v>1646.4175299999999</v>
      </c>
      <c r="E22" s="29">
        <f>1762000-115582.47</f>
        <v>1646417.53</v>
      </c>
      <c r="F22" s="2"/>
    </row>
    <row r="23" spans="1:6" ht="31.2" outlineLevel="2" x14ac:dyDescent="0.3">
      <c r="A23" s="6" t="s">
        <v>10</v>
      </c>
      <c r="B23" s="4" t="s">
        <v>15</v>
      </c>
      <c r="C23" s="4" t="s">
        <v>11</v>
      </c>
      <c r="D23" s="16">
        <f>E23/1000</f>
        <v>62.3</v>
      </c>
      <c r="E23" s="29">
        <f>67500-5200</f>
        <v>62300</v>
      </c>
      <c r="F23" s="2"/>
    </row>
    <row r="24" spans="1:6" outlineLevel="2" x14ac:dyDescent="0.3">
      <c r="A24" s="6" t="s">
        <v>12</v>
      </c>
      <c r="B24" s="27" t="s">
        <v>15</v>
      </c>
      <c r="C24" s="4">
        <v>800</v>
      </c>
      <c r="D24" s="16">
        <f>E24/1000</f>
        <v>57.607279999999996</v>
      </c>
      <c r="E24" s="29">
        <f>138416.45+57675.28+932-1000-138416.45</f>
        <v>57607.28</v>
      </c>
      <c r="F24" s="2"/>
    </row>
    <row r="25" spans="1:6" ht="31.2" outlineLevel="2" x14ac:dyDescent="0.3">
      <c r="A25" s="6" t="s">
        <v>143</v>
      </c>
      <c r="B25" s="27" t="s">
        <v>144</v>
      </c>
      <c r="C25" s="27" t="s">
        <v>2</v>
      </c>
      <c r="D25" s="16">
        <f t="shared" ref="D25:D26" si="1">E25/1000</f>
        <v>73.197999999999993</v>
      </c>
      <c r="E25" s="29">
        <f>E26</f>
        <v>73198</v>
      </c>
      <c r="F25" s="2"/>
    </row>
    <row r="26" spans="1:6" ht="62.4" outlineLevel="2" x14ac:dyDescent="0.3">
      <c r="A26" s="6" t="s">
        <v>101</v>
      </c>
      <c r="B26" s="27" t="s">
        <v>144</v>
      </c>
      <c r="C26" s="27" t="s">
        <v>7</v>
      </c>
      <c r="D26" s="63">
        <f t="shared" si="1"/>
        <v>73.197999999999993</v>
      </c>
      <c r="E26" s="29">
        <v>73198</v>
      </c>
      <c r="F26" s="2"/>
    </row>
    <row r="27" spans="1:6" ht="31.2" outlineLevel="2" x14ac:dyDescent="0.3">
      <c r="A27" s="37" t="s">
        <v>82</v>
      </c>
      <c r="B27" s="4" t="s">
        <v>84</v>
      </c>
      <c r="C27" s="4" t="s">
        <v>2</v>
      </c>
      <c r="D27" s="16">
        <f t="shared" ref="D27:D28" si="2">E27/1000</f>
        <v>647.5</v>
      </c>
      <c r="E27" s="29">
        <f>E28</f>
        <v>647500</v>
      </c>
      <c r="F27" s="2"/>
    </row>
    <row r="28" spans="1:6" ht="62.4" outlineLevel="2" x14ac:dyDescent="0.3">
      <c r="A28" s="46" t="s">
        <v>83</v>
      </c>
      <c r="B28" s="4" t="s">
        <v>84</v>
      </c>
      <c r="C28" s="4" t="s">
        <v>7</v>
      </c>
      <c r="D28" s="16">
        <f t="shared" si="2"/>
        <v>647.5</v>
      </c>
      <c r="E28" s="29">
        <f>207500+440000</f>
        <v>647500</v>
      </c>
      <c r="F28" s="2"/>
    </row>
    <row r="29" spans="1:6" outlineLevel="1" x14ac:dyDescent="0.3">
      <c r="A29" s="6" t="s">
        <v>16</v>
      </c>
      <c r="B29" s="4" t="s">
        <v>17</v>
      </c>
      <c r="C29" s="4" t="s">
        <v>2</v>
      </c>
      <c r="D29" s="63">
        <f>E29/1000</f>
        <v>12</v>
      </c>
      <c r="E29" s="29">
        <f>E30</f>
        <v>12000</v>
      </c>
      <c r="F29" s="2"/>
    </row>
    <row r="30" spans="1:6" outlineLevel="2" x14ac:dyDescent="0.3">
      <c r="A30" s="6" t="s">
        <v>12</v>
      </c>
      <c r="B30" s="4" t="s">
        <v>17</v>
      </c>
      <c r="C30" s="4" t="s">
        <v>13</v>
      </c>
      <c r="D30" s="16">
        <f t="shared" si="0"/>
        <v>12</v>
      </c>
      <c r="E30" s="29">
        <f>12500-1400+900</f>
        <v>12000</v>
      </c>
      <c r="F30" s="2"/>
    </row>
    <row r="31" spans="1:6" outlineLevel="1" x14ac:dyDescent="0.3">
      <c r="A31" s="6" t="s">
        <v>18</v>
      </c>
      <c r="B31" s="4" t="s">
        <v>19</v>
      </c>
      <c r="C31" s="4" t="s">
        <v>2</v>
      </c>
      <c r="D31" s="63">
        <f>E31/1000</f>
        <v>0</v>
      </c>
      <c r="E31" s="29">
        <f>E32</f>
        <v>0</v>
      </c>
      <c r="F31" s="2"/>
    </row>
    <row r="32" spans="1:6" outlineLevel="2" x14ac:dyDescent="0.3">
      <c r="A32" s="6" t="s">
        <v>12</v>
      </c>
      <c r="B32" s="4" t="s">
        <v>19</v>
      </c>
      <c r="C32" s="4" t="s">
        <v>13</v>
      </c>
      <c r="D32" s="16">
        <f t="shared" si="0"/>
        <v>0</v>
      </c>
      <c r="E32" s="29">
        <v>0</v>
      </c>
      <c r="F32" s="2"/>
    </row>
    <row r="33" spans="1:6" outlineLevel="1" x14ac:dyDescent="0.3">
      <c r="A33" s="6" t="s">
        <v>20</v>
      </c>
      <c r="B33" s="4" t="s">
        <v>21</v>
      </c>
      <c r="C33" s="4" t="s">
        <v>2</v>
      </c>
      <c r="D33" s="63">
        <f>E33/1000</f>
        <v>44.1</v>
      </c>
      <c r="E33" s="29">
        <f>E34</f>
        <v>44100</v>
      </c>
      <c r="F33" s="2"/>
    </row>
    <row r="34" spans="1:6" outlineLevel="2" x14ac:dyDescent="0.3">
      <c r="A34" s="6" t="s">
        <v>22</v>
      </c>
      <c r="B34" s="4" t="s">
        <v>21</v>
      </c>
      <c r="C34" s="4" t="s">
        <v>23</v>
      </c>
      <c r="D34" s="16">
        <f t="shared" si="0"/>
        <v>44.1</v>
      </c>
      <c r="E34" s="29">
        <v>44100</v>
      </c>
      <c r="F34" s="2"/>
    </row>
    <row r="35" spans="1:6" outlineLevel="2" x14ac:dyDescent="0.3">
      <c r="A35" s="61" t="s">
        <v>116</v>
      </c>
      <c r="B35" s="38" t="s">
        <v>133</v>
      </c>
      <c r="C35" s="27" t="s">
        <v>2</v>
      </c>
      <c r="D35" s="63">
        <f t="shared" si="0"/>
        <v>34.966999999999999</v>
      </c>
      <c r="E35" s="29">
        <f>E36</f>
        <v>34967</v>
      </c>
      <c r="F35" s="2"/>
    </row>
    <row r="36" spans="1:6" ht="31.2" outlineLevel="2" x14ac:dyDescent="0.3">
      <c r="A36" s="61" t="s">
        <v>117</v>
      </c>
      <c r="B36" s="38" t="s">
        <v>133</v>
      </c>
      <c r="C36" s="4">
        <v>200</v>
      </c>
      <c r="D36" s="16">
        <f t="shared" si="0"/>
        <v>34.966999999999999</v>
      </c>
      <c r="E36" s="29">
        <f>73260-38293</f>
        <v>34967</v>
      </c>
      <c r="F36" s="2"/>
    </row>
    <row r="37" spans="1:6" outlineLevel="2" x14ac:dyDescent="0.3">
      <c r="A37" s="61" t="s">
        <v>118</v>
      </c>
      <c r="B37" s="38" t="s">
        <v>134</v>
      </c>
      <c r="C37" s="27" t="s">
        <v>2</v>
      </c>
      <c r="D37" s="63">
        <f t="shared" si="0"/>
        <v>0.35699999999999998</v>
      </c>
      <c r="E37" s="29">
        <f>E38</f>
        <v>357</v>
      </c>
      <c r="F37" s="2"/>
    </row>
    <row r="38" spans="1:6" ht="31.2" outlineLevel="2" x14ac:dyDescent="0.3">
      <c r="A38" s="61" t="s">
        <v>117</v>
      </c>
      <c r="B38" s="38" t="s">
        <v>134</v>
      </c>
      <c r="C38" s="4">
        <v>200</v>
      </c>
      <c r="D38" s="16">
        <f t="shared" si="0"/>
        <v>0.35699999999999998</v>
      </c>
      <c r="E38" s="29">
        <f>740-383</f>
        <v>357</v>
      </c>
      <c r="F38" s="2"/>
    </row>
    <row r="39" spans="1:6" ht="31.2" outlineLevel="1" x14ac:dyDescent="0.3">
      <c r="A39" s="51" t="s">
        <v>94</v>
      </c>
      <c r="B39" s="27" t="s">
        <v>135</v>
      </c>
      <c r="C39" s="4" t="s">
        <v>2</v>
      </c>
      <c r="D39" s="63">
        <f>E39/1000</f>
        <v>0.2</v>
      </c>
      <c r="E39" s="29">
        <f>E40</f>
        <v>200</v>
      </c>
      <c r="F39" s="2"/>
    </row>
    <row r="40" spans="1:6" ht="31.2" outlineLevel="2" x14ac:dyDescent="0.3">
      <c r="A40" s="52" t="s">
        <v>95</v>
      </c>
      <c r="B40" s="27" t="s">
        <v>135</v>
      </c>
      <c r="C40" s="4" t="s">
        <v>11</v>
      </c>
      <c r="D40" s="16">
        <f t="shared" si="0"/>
        <v>0.2</v>
      </c>
      <c r="E40" s="29">
        <v>200</v>
      </c>
      <c r="F40" s="2"/>
    </row>
    <row r="41" spans="1:6" ht="31.2" outlineLevel="1" x14ac:dyDescent="0.3">
      <c r="A41" s="6" t="s">
        <v>24</v>
      </c>
      <c r="B41" s="27" t="s">
        <v>128</v>
      </c>
      <c r="C41" s="4" t="s">
        <v>2</v>
      </c>
      <c r="D41" s="63">
        <f>E41/1000</f>
        <v>390.5</v>
      </c>
      <c r="E41" s="29">
        <f>E42+E43</f>
        <v>390500</v>
      </c>
      <c r="F41" s="2"/>
    </row>
    <row r="42" spans="1:6" ht="62.4" outlineLevel="2" x14ac:dyDescent="0.3">
      <c r="A42" s="6" t="s">
        <v>6</v>
      </c>
      <c r="B42" s="27" t="s">
        <v>128</v>
      </c>
      <c r="C42" s="4" t="s">
        <v>7</v>
      </c>
      <c r="D42" s="16">
        <f t="shared" si="0"/>
        <v>388.98</v>
      </c>
      <c r="E42" s="29">
        <v>388980</v>
      </c>
      <c r="F42" s="2"/>
    </row>
    <row r="43" spans="1:6" ht="31.2" outlineLevel="2" x14ac:dyDescent="0.3">
      <c r="A43" s="6" t="s">
        <v>10</v>
      </c>
      <c r="B43" s="27" t="s">
        <v>128</v>
      </c>
      <c r="C43" s="4" t="s">
        <v>11</v>
      </c>
      <c r="D43" s="16">
        <f t="shared" si="0"/>
        <v>1.52</v>
      </c>
      <c r="E43" s="29">
        <v>1520</v>
      </c>
      <c r="F43" s="2"/>
    </row>
    <row r="44" spans="1:6" outlineLevel="1" x14ac:dyDescent="0.3">
      <c r="A44" s="6" t="s">
        <v>25</v>
      </c>
      <c r="B44" s="4" t="s">
        <v>26</v>
      </c>
      <c r="C44" s="4" t="s">
        <v>2</v>
      </c>
      <c r="D44" s="16">
        <f t="shared" si="0"/>
        <v>0</v>
      </c>
      <c r="E44" s="29">
        <f>E45</f>
        <v>0</v>
      </c>
      <c r="F44" s="2"/>
    </row>
    <row r="45" spans="1:6" outlineLevel="2" x14ac:dyDescent="0.3">
      <c r="A45" s="6" t="s">
        <v>12</v>
      </c>
      <c r="B45" s="4" t="s">
        <v>26</v>
      </c>
      <c r="C45" s="4" t="s">
        <v>13</v>
      </c>
      <c r="D45" s="16">
        <f t="shared" si="0"/>
        <v>0</v>
      </c>
      <c r="E45" s="29">
        <v>0</v>
      </c>
      <c r="F45" s="2"/>
    </row>
    <row r="46" spans="1:6" ht="46.8" x14ac:dyDescent="0.3">
      <c r="A46" s="19" t="s">
        <v>77</v>
      </c>
      <c r="B46" s="40" t="s">
        <v>27</v>
      </c>
      <c r="C46" s="20" t="s">
        <v>2</v>
      </c>
      <c r="D46" s="64">
        <f>E46/1000</f>
        <v>190.24639999999999</v>
      </c>
      <c r="E46" s="29">
        <f>E47</f>
        <v>190246.39999999999</v>
      </c>
      <c r="F46" s="2"/>
    </row>
    <row r="47" spans="1:6" ht="31.2" outlineLevel="1" x14ac:dyDescent="0.3">
      <c r="A47" s="6" t="s">
        <v>28</v>
      </c>
      <c r="B47" s="27" t="s">
        <v>29</v>
      </c>
      <c r="C47" s="4" t="s">
        <v>2</v>
      </c>
      <c r="D47" s="16">
        <f>E47/1000</f>
        <v>190.24639999999999</v>
      </c>
      <c r="E47" s="29">
        <f>E49+E48</f>
        <v>190246.39999999999</v>
      </c>
      <c r="F47" s="2"/>
    </row>
    <row r="48" spans="1:6" ht="37.200000000000003" customHeight="1" outlineLevel="1" x14ac:dyDescent="0.3">
      <c r="A48" s="6" t="s">
        <v>92</v>
      </c>
      <c r="B48" s="27" t="s">
        <v>29</v>
      </c>
      <c r="C48" s="4">
        <v>200</v>
      </c>
      <c r="D48" s="16">
        <f>E48/1000</f>
        <v>185.24639999999999</v>
      </c>
      <c r="E48" s="29">
        <f>189850-4603.6</f>
        <v>185246.4</v>
      </c>
      <c r="F48" s="2"/>
    </row>
    <row r="49" spans="1:9" outlineLevel="2" x14ac:dyDescent="0.3">
      <c r="A49" s="21" t="s">
        <v>12</v>
      </c>
      <c r="B49" s="4" t="s">
        <v>29</v>
      </c>
      <c r="C49" s="4" t="s">
        <v>13</v>
      </c>
      <c r="D49" s="16">
        <f>E49/1000</f>
        <v>5</v>
      </c>
      <c r="E49" s="29">
        <f>5250-250</f>
        <v>5000</v>
      </c>
      <c r="F49" s="2"/>
    </row>
    <row r="50" spans="1:9" ht="31.2" outlineLevel="2" x14ac:dyDescent="0.3">
      <c r="A50" s="57" t="s">
        <v>96</v>
      </c>
      <c r="B50" s="55" t="s">
        <v>99</v>
      </c>
      <c r="C50" s="27" t="s">
        <v>2</v>
      </c>
      <c r="D50" s="63">
        <f>E50/1000-0.1</f>
        <v>18.299669999999995</v>
      </c>
      <c r="E50" s="29">
        <f>E51</f>
        <v>18399.669999999998</v>
      </c>
      <c r="F50" s="2"/>
    </row>
    <row r="51" spans="1:9" ht="31.2" outlineLevel="2" x14ac:dyDescent="0.3">
      <c r="A51" s="53" t="s">
        <v>100</v>
      </c>
      <c r="B51" s="27" t="s">
        <v>102</v>
      </c>
      <c r="C51" s="27" t="s">
        <v>2</v>
      </c>
      <c r="D51" s="16">
        <f>E51/1000-0.1</f>
        <v>18.299669999999995</v>
      </c>
      <c r="E51" s="29">
        <f>E52+E56+E57</f>
        <v>18399.669999999998</v>
      </c>
      <c r="F51" s="2"/>
    </row>
    <row r="52" spans="1:9" ht="0.6" customHeight="1" outlineLevel="2" x14ac:dyDescent="0.3">
      <c r="A52" s="56" t="s">
        <v>97</v>
      </c>
      <c r="B52" s="27" t="s">
        <v>103</v>
      </c>
      <c r="C52" s="27" t="s">
        <v>2</v>
      </c>
      <c r="D52" s="16">
        <f>E52/1000-0.1</f>
        <v>16.5</v>
      </c>
      <c r="E52" s="29">
        <f>E53</f>
        <v>16600</v>
      </c>
      <c r="F52" s="2"/>
    </row>
    <row r="53" spans="1:9" outlineLevel="2" x14ac:dyDescent="0.3">
      <c r="A53" s="54" t="s">
        <v>98</v>
      </c>
      <c r="B53" s="27" t="s">
        <v>129</v>
      </c>
      <c r="C53" s="27" t="s">
        <v>2</v>
      </c>
      <c r="D53" s="16">
        <f>D54</f>
        <v>16.600000000000001</v>
      </c>
      <c r="E53" s="29">
        <f>E54</f>
        <v>16600</v>
      </c>
      <c r="F53" s="2"/>
    </row>
    <row r="54" spans="1:9" ht="62.4" outlineLevel="2" x14ac:dyDescent="0.3">
      <c r="A54" s="59" t="s">
        <v>101</v>
      </c>
      <c r="B54" s="27" t="s">
        <v>129</v>
      </c>
      <c r="C54" s="27" t="s">
        <v>7</v>
      </c>
      <c r="D54" s="16">
        <f>E54/1000</f>
        <v>16.600000000000001</v>
      </c>
      <c r="E54" s="29">
        <v>16600</v>
      </c>
      <c r="F54" s="2"/>
    </row>
    <row r="55" spans="1:9" outlineLevel="2" x14ac:dyDescent="0.3">
      <c r="A55" s="59" t="s">
        <v>104</v>
      </c>
      <c r="B55" s="27" t="s">
        <v>130</v>
      </c>
      <c r="C55" s="27" t="s">
        <v>2</v>
      </c>
      <c r="D55" s="63">
        <f>E55/1000</f>
        <v>0.16766999999999999</v>
      </c>
      <c r="E55" s="29">
        <f>E56</f>
        <v>167.67</v>
      </c>
      <c r="F55" s="2"/>
    </row>
    <row r="56" spans="1:9" ht="31.2" outlineLevel="2" x14ac:dyDescent="0.3">
      <c r="A56" s="59" t="s">
        <v>105</v>
      </c>
      <c r="B56" s="27" t="s">
        <v>130</v>
      </c>
      <c r="C56" s="27" t="s">
        <v>7</v>
      </c>
      <c r="D56" s="16">
        <f>E56/1000</f>
        <v>0.16766999999999999</v>
      </c>
      <c r="E56" s="29">
        <v>167.67</v>
      </c>
      <c r="F56" s="2"/>
    </row>
    <row r="57" spans="1:9" outlineLevel="2" x14ac:dyDescent="0.3">
      <c r="A57" s="59" t="s">
        <v>104</v>
      </c>
      <c r="B57" s="27" t="s">
        <v>106</v>
      </c>
      <c r="C57" s="27" t="s">
        <v>2</v>
      </c>
      <c r="D57" s="16">
        <f>E57/1000-0.1</f>
        <v>1.5319999999999998</v>
      </c>
      <c r="E57" s="29">
        <f>E58</f>
        <v>1632</v>
      </c>
      <c r="F57" s="2"/>
    </row>
    <row r="58" spans="1:9" ht="31.2" outlineLevel="2" x14ac:dyDescent="0.3">
      <c r="A58" s="59" t="s">
        <v>105</v>
      </c>
      <c r="B58" s="27" t="s">
        <v>106</v>
      </c>
      <c r="C58" s="27" t="s">
        <v>11</v>
      </c>
      <c r="D58" s="16">
        <f>E58/1000-0.1</f>
        <v>1.5319999999999998</v>
      </c>
      <c r="E58" s="29">
        <f>2198.33-566.33</f>
        <v>1632</v>
      </c>
      <c r="F58" s="2"/>
    </row>
    <row r="59" spans="1:9" ht="46.8" outlineLevel="2" x14ac:dyDescent="0.3">
      <c r="A59" s="58" t="s">
        <v>88</v>
      </c>
      <c r="B59" s="34" t="s">
        <v>89</v>
      </c>
      <c r="C59" s="34" t="s">
        <v>2</v>
      </c>
      <c r="D59" s="63">
        <f>E59/1000</f>
        <v>88.851459999999989</v>
      </c>
      <c r="E59" s="33">
        <f>E60</f>
        <v>88851.459999999992</v>
      </c>
      <c r="F59" s="2"/>
      <c r="I59" s="45"/>
    </row>
    <row r="60" spans="1:9" ht="31.2" outlineLevel="2" x14ac:dyDescent="0.3">
      <c r="A60" s="44" t="s">
        <v>71</v>
      </c>
      <c r="B60" s="35" t="s">
        <v>90</v>
      </c>
      <c r="C60" s="35" t="s">
        <v>2</v>
      </c>
      <c r="D60" s="16">
        <f>E60/1000</f>
        <v>88.851459999999989</v>
      </c>
      <c r="E60" s="32">
        <f>E61</f>
        <v>88851.459999999992</v>
      </c>
      <c r="F60" s="2"/>
    </row>
    <row r="61" spans="1:9" ht="31.2" outlineLevel="2" x14ac:dyDescent="0.3">
      <c r="A61" s="24" t="s">
        <v>10</v>
      </c>
      <c r="B61" s="35" t="s">
        <v>90</v>
      </c>
      <c r="C61" s="35" t="s">
        <v>11</v>
      </c>
      <c r="D61" s="16">
        <f>E61/1000</f>
        <v>88.851459999999989</v>
      </c>
      <c r="E61" s="32">
        <f>181100-40000-52248.54</f>
        <v>88851.459999999992</v>
      </c>
      <c r="F61" s="2"/>
    </row>
    <row r="62" spans="1:9" hidden="1" outlineLevel="2" x14ac:dyDescent="0.3">
      <c r="A62" s="6"/>
      <c r="B62" s="4"/>
      <c r="C62" s="4"/>
      <c r="D62" s="16"/>
      <c r="E62" s="29"/>
      <c r="F62" s="2"/>
    </row>
    <row r="63" spans="1:9" ht="47.4" customHeight="1" collapsed="1" x14ac:dyDescent="0.3">
      <c r="A63" s="19" t="s">
        <v>78</v>
      </c>
      <c r="B63" s="20" t="s">
        <v>30</v>
      </c>
      <c r="C63" s="20" t="s">
        <v>2</v>
      </c>
      <c r="D63" s="64">
        <f t="shared" si="0"/>
        <v>127.6</v>
      </c>
      <c r="E63" s="29">
        <f>E64</f>
        <v>127600</v>
      </c>
      <c r="F63" s="2"/>
    </row>
    <row r="64" spans="1:9" ht="31.2" outlineLevel="1" x14ac:dyDescent="0.3">
      <c r="A64" s="6" t="s">
        <v>31</v>
      </c>
      <c r="B64" s="4" t="s">
        <v>32</v>
      </c>
      <c r="C64" s="4" t="s">
        <v>2</v>
      </c>
      <c r="D64" s="16">
        <f>E64/1000</f>
        <v>127.6</v>
      </c>
      <c r="E64" s="29">
        <f>E65</f>
        <v>127600</v>
      </c>
      <c r="F64" s="2"/>
    </row>
    <row r="65" spans="1:6" ht="31.2" outlineLevel="2" x14ac:dyDescent="0.3">
      <c r="A65" s="6" t="s">
        <v>10</v>
      </c>
      <c r="B65" s="4" t="s">
        <v>32</v>
      </c>
      <c r="C65" s="4" t="s">
        <v>11</v>
      </c>
      <c r="D65" s="16">
        <f t="shared" si="0"/>
        <v>127.6</v>
      </c>
      <c r="E65" s="29">
        <f>276200-70000-78600</f>
        <v>127600</v>
      </c>
      <c r="F65" s="2"/>
    </row>
    <row r="66" spans="1:6" ht="46.8" x14ac:dyDescent="0.3">
      <c r="A66" s="19" t="s">
        <v>79</v>
      </c>
      <c r="B66" s="20" t="s">
        <v>33</v>
      </c>
      <c r="C66" s="20" t="s">
        <v>2</v>
      </c>
      <c r="D66" s="64">
        <f>E66/1000</f>
        <v>2651.4017400000002</v>
      </c>
      <c r="E66" s="29">
        <f>E67+E69+E71+E73+E75+E77+E79</f>
        <v>2651401.7400000002</v>
      </c>
      <c r="F66" s="2"/>
    </row>
    <row r="67" spans="1:6" outlineLevel="1" x14ac:dyDescent="0.3">
      <c r="A67" s="6" t="s">
        <v>34</v>
      </c>
      <c r="B67" s="4" t="s">
        <v>35</v>
      </c>
      <c r="C67" s="4" t="s">
        <v>2</v>
      </c>
      <c r="D67" s="16">
        <f t="shared" si="0"/>
        <v>242.96720000000002</v>
      </c>
      <c r="E67" s="29">
        <f>E68</f>
        <v>242967.2</v>
      </c>
      <c r="F67" s="2"/>
    </row>
    <row r="68" spans="1:6" ht="31.2" outlineLevel="2" x14ac:dyDescent="0.3">
      <c r="A68" s="6" t="s">
        <v>10</v>
      </c>
      <c r="B68" s="4" t="s">
        <v>35</v>
      </c>
      <c r="C68" s="4" t="s">
        <v>11</v>
      </c>
      <c r="D68" s="16">
        <f t="shared" si="0"/>
        <v>242.96720000000002</v>
      </c>
      <c r="E68" s="29">
        <f>256600+39723.28-53356.08</f>
        <v>242967.2</v>
      </c>
      <c r="F68" s="2"/>
    </row>
    <row r="69" spans="1:6" outlineLevel="1" x14ac:dyDescent="0.3">
      <c r="A69" s="6" t="s">
        <v>36</v>
      </c>
      <c r="B69" s="4" t="s">
        <v>37</v>
      </c>
      <c r="C69" s="4" t="s">
        <v>2</v>
      </c>
      <c r="D69" s="16">
        <f>D70</f>
        <v>55</v>
      </c>
      <c r="E69" s="29">
        <f>E70</f>
        <v>55000</v>
      </c>
      <c r="F69" s="2"/>
    </row>
    <row r="70" spans="1:6" ht="31.2" outlineLevel="2" x14ac:dyDescent="0.3">
      <c r="A70" s="6" t="s">
        <v>10</v>
      </c>
      <c r="B70" s="4" t="s">
        <v>37</v>
      </c>
      <c r="C70" s="4" t="s">
        <v>11</v>
      </c>
      <c r="D70" s="16">
        <f>E70/1000</f>
        <v>55</v>
      </c>
      <c r="E70" s="29">
        <f>115000-60000</f>
        <v>55000</v>
      </c>
      <c r="F70" s="2"/>
    </row>
    <row r="71" spans="1:6" outlineLevel="1" x14ac:dyDescent="0.3">
      <c r="A71" s="6" t="s">
        <v>38</v>
      </c>
      <c r="B71" s="4" t="s">
        <v>39</v>
      </c>
      <c r="C71" s="4" t="s">
        <v>2</v>
      </c>
      <c r="D71" s="16">
        <f t="shared" si="0"/>
        <v>527.22692000000006</v>
      </c>
      <c r="E71" s="29">
        <f>E72</f>
        <v>527226.92000000004</v>
      </c>
      <c r="F71" s="2"/>
    </row>
    <row r="72" spans="1:6" ht="31.2" outlineLevel="2" x14ac:dyDescent="0.3">
      <c r="A72" s="6" t="s">
        <v>10</v>
      </c>
      <c r="B72" s="4" t="s">
        <v>39</v>
      </c>
      <c r="C72" s="4" t="s">
        <v>11</v>
      </c>
      <c r="D72" s="16">
        <f t="shared" si="0"/>
        <v>527.22692000000006</v>
      </c>
      <c r="E72" s="29">
        <f>502500+40000-15273.08</f>
        <v>527226.92000000004</v>
      </c>
      <c r="F72" s="2"/>
    </row>
    <row r="73" spans="1:6" outlineLevel="1" x14ac:dyDescent="0.3">
      <c r="A73" s="6" t="s">
        <v>40</v>
      </c>
      <c r="B73" s="4" t="s">
        <v>41</v>
      </c>
      <c r="C73" s="4" t="s">
        <v>2</v>
      </c>
      <c r="D73" s="16">
        <f>D74</f>
        <v>346.07269000000002</v>
      </c>
      <c r="E73" s="29">
        <f>E74</f>
        <v>346072.69</v>
      </c>
      <c r="F73" s="2"/>
    </row>
    <row r="74" spans="1:6" ht="31.2" outlineLevel="2" x14ac:dyDescent="0.3">
      <c r="A74" s="6" t="s">
        <v>10</v>
      </c>
      <c r="B74" s="4" t="s">
        <v>41</v>
      </c>
      <c r="C74" s="4" t="s">
        <v>11</v>
      </c>
      <c r="D74" s="16">
        <f>E74/1000</f>
        <v>346.07269000000002</v>
      </c>
      <c r="E74" s="29">
        <f>349000-2927.31</f>
        <v>346072.69</v>
      </c>
      <c r="F74" s="2"/>
    </row>
    <row r="75" spans="1:6" ht="31.2" outlineLevel="1" x14ac:dyDescent="0.3">
      <c r="A75" s="6" t="s">
        <v>42</v>
      </c>
      <c r="B75" s="4" t="s">
        <v>43</v>
      </c>
      <c r="C75" s="4" t="s">
        <v>2</v>
      </c>
      <c r="D75" s="16">
        <f t="shared" ref="D75:D81" si="3">E75/1000</f>
        <v>364.93700000000001</v>
      </c>
      <c r="E75" s="29">
        <f>E76</f>
        <v>364937</v>
      </c>
      <c r="F75" s="2"/>
    </row>
    <row r="76" spans="1:6" ht="31.2" outlineLevel="2" x14ac:dyDescent="0.3">
      <c r="A76" s="6" t="s">
        <v>10</v>
      </c>
      <c r="B76" s="4" t="s">
        <v>43</v>
      </c>
      <c r="C76" s="4" t="s">
        <v>11</v>
      </c>
      <c r="D76" s="16">
        <f t="shared" si="3"/>
        <v>364.93700000000001</v>
      </c>
      <c r="E76" s="29">
        <f>119000+265000-19063</f>
        <v>364937</v>
      </c>
      <c r="F76" s="2"/>
    </row>
    <row r="77" spans="1:6" outlineLevel="1" x14ac:dyDescent="0.3">
      <c r="A77" s="60" t="s">
        <v>110</v>
      </c>
      <c r="B77" s="27" t="s">
        <v>140</v>
      </c>
      <c r="C77" s="4" t="s">
        <v>2</v>
      </c>
      <c r="D77" s="16">
        <f t="shared" si="3"/>
        <v>742.68832999999995</v>
      </c>
      <c r="E77" s="29">
        <f>E78</f>
        <v>742688.33</v>
      </c>
      <c r="F77" s="2"/>
    </row>
    <row r="78" spans="1:6" ht="31.2" outlineLevel="2" x14ac:dyDescent="0.3">
      <c r="A78" s="60" t="s">
        <v>111</v>
      </c>
      <c r="B78" s="27" t="s">
        <v>140</v>
      </c>
      <c r="C78" s="4" t="s">
        <v>11</v>
      </c>
      <c r="D78" s="16">
        <f t="shared" si="3"/>
        <v>742.68832999999995</v>
      </c>
      <c r="E78" s="29">
        <f>739700+2988.33</f>
        <v>742688.33</v>
      </c>
      <c r="F78" s="2"/>
    </row>
    <row r="79" spans="1:6" outlineLevel="1" x14ac:dyDescent="0.3">
      <c r="A79" s="60" t="s">
        <v>112</v>
      </c>
      <c r="B79" s="4" t="s">
        <v>139</v>
      </c>
      <c r="C79" s="4" t="s">
        <v>2</v>
      </c>
      <c r="D79" s="16">
        <f t="shared" si="3"/>
        <v>372.50959999999998</v>
      </c>
      <c r="E79" s="29">
        <f>E80</f>
        <v>372509.6</v>
      </c>
      <c r="F79" s="2"/>
    </row>
    <row r="80" spans="1:6" ht="31.2" outlineLevel="2" x14ac:dyDescent="0.3">
      <c r="A80" s="60" t="s">
        <v>111</v>
      </c>
      <c r="B80" s="4" t="str">
        <f>B79</f>
        <v>07Q51S7170</v>
      </c>
      <c r="C80" s="4" t="s">
        <v>11</v>
      </c>
      <c r="D80" s="16">
        <f t="shared" si="3"/>
        <v>372.50959999999998</v>
      </c>
      <c r="E80" s="29">
        <f>388600-16090.4</f>
        <v>372509.6</v>
      </c>
      <c r="F80" s="2"/>
    </row>
    <row r="81" spans="1:6" ht="46.8" x14ac:dyDescent="0.3">
      <c r="A81" s="19" t="s">
        <v>93</v>
      </c>
      <c r="B81" s="20" t="s">
        <v>44</v>
      </c>
      <c r="C81" s="20" t="s">
        <v>2</v>
      </c>
      <c r="D81" s="64">
        <f t="shared" si="3"/>
        <v>2390.2830099999996</v>
      </c>
      <c r="E81" s="29">
        <f>E82+E85+E87</f>
        <v>2390283.0099999998</v>
      </c>
      <c r="F81" s="2"/>
    </row>
    <row r="82" spans="1:6" outlineLevel="1" x14ac:dyDescent="0.3">
      <c r="A82" s="6" t="s">
        <v>45</v>
      </c>
      <c r="B82" s="4" t="s">
        <v>46</v>
      </c>
      <c r="C82" s="4" t="s">
        <v>2</v>
      </c>
      <c r="D82" s="16">
        <f>E82/1000</f>
        <v>2008.68301</v>
      </c>
      <c r="E82" s="29">
        <f>E83+E84</f>
        <v>2008683.01</v>
      </c>
      <c r="F82" s="2"/>
    </row>
    <row r="83" spans="1:6" ht="62.4" outlineLevel="2" x14ac:dyDescent="0.3">
      <c r="A83" s="6" t="s">
        <v>6</v>
      </c>
      <c r="B83" s="4" t="s">
        <v>46</v>
      </c>
      <c r="C83" s="4" t="s">
        <v>7</v>
      </c>
      <c r="D83" s="16">
        <f>E83/1000</f>
        <v>991.54683</v>
      </c>
      <c r="E83" s="29">
        <f>878320+138485-25258.17</f>
        <v>991546.83</v>
      </c>
      <c r="F83" s="2"/>
    </row>
    <row r="84" spans="1:6" ht="31.2" outlineLevel="2" x14ac:dyDescent="0.3">
      <c r="A84" s="6" t="s">
        <v>10</v>
      </c>
      <c r="B84" s="4" t="s">
        <v>46</v>
      </c>
      <c r="C84" s="4" t="s">
        <v>11</v>
      </c>
      <c r="D84" s="16">
        <f t="shared" ref="D84:D129" si="4">E84/1000</f>
        <v>1017.1361800000001</v>
      </c>
      <c r="E84" s="29">
        <f>965160+16.24+44820.05+29381.23+5523+30000-57764.34</f>
        <v>1017136.18</v>
      </c>
      <c r="F84" s="2"/>
    </row>
    <row r="85" spans="1:6" outlineLevel="1" x14ac:dyDescent="0.3">
      <c r="A85" s="6" t="s">
        <v>45</v>
      </c>
      <c r="B85" s="4" t="str">
        <f>B86</f>
        <v>080001403А</v>
      </c>
      <c r="C85" s="4" t="s">
        <v>2</v>
      </c>
      <c r="D85" s="16">
        <f t="shared" si="4"/>
        <v>381.6</v>
      </c>
      <c r="E85" s="29">
        <f>E86</f>
        <v>381600</v>
      </c>
      <c r="F85" s="2"/>
    </row>
    <row r="86" spans="1:6" ht="62.4" outlineLevel="2" x14ac:dyDescent="0.3">
      <c r="A86" s="6" t="s">
        <v>6</v>
      </c>
      <c r="B86" s="4" t="s">
        <v>75</v>
      </c>
      <c r="C86" s="4" t="s">
        <v>7</v>
      </c>
      <c r="D86" s="16">
        <f t="shared" si="4"/>
        <v>381.6</v>
      </c>
      <c r="E86" s="29">
        <f>209500+88900+83200</f>
        <v>381600</v>
      </c>
      <c r="F86" s="2"/>
    </row>
    <row r="87" spans="1:6" hidden="1" outlineLevel="2" x14ac:dyDescent="0.3">
      <c r="A87" s="47" t="s">
        <v>85</v>
      </c>
      <c r="B87" s="4" t="s">
        <v>87</v>
      </c>
      <c r="C87" s="27" t="s">
        <v>2</v>
      </c>
      <c r="D87" s="16">
        <f t="shared" si="4"/>
        <v>0</v>
      </c>
      <c r="E87" s="29">
        <f>E88</f>
        <v>0</v>
      </c>
      <c r="F87" s="2"/>
    </row>
    <row r="88" spans="1:6" ht="26.4" hidden="1" outlineLevel="2" x14ac:dyDescent="0.3">
      <c r="A88" s="47" t="s">
        <v>86</v>
      </c>
      <c r="B88" s="4" t="s">
        <v>87</v>
      </c>
      <c r="C88" s="27" t="s">
        <v>11</v>
      </c>
      <c r="D88" s="16">
        <f t="shared" si="4"/>
        <v>0</v>
      </c>
      <c r="E88" s="29">
        <v>0</v>
      </c>
      <c r="F88" s="2"/>
    </row>
    <row r="89" spans="1:6" ht="46.8" collapsed="1" x14ac:dyDescent="0.3">
      <c r="A89" s="19" t="s">
        <v>80</v>
      </c>
      <c r="B89" s="20" t="s">
        <v>47</v>
      </c>
      <c r="C89" s="20" t="s">
        <v>2</v>
      </c>
      <c r="D89" s="64">
        <f t="shared" si="4"/>
        <v>15</v>
      </c>
      <c r="E89" s="29">
        <f>E90</f>
        <v>15000</v>
      </c>
      <c r="F89" s="2"/>
    </row>
    <row r="90" spans="1:6" outlineLevel="1" x14ac:dyDescent="0.3">
      <c r="A90" s="6" t="s">
        <v>48</v>
      </c>
      <c r="B90" s="4" t="s">
        <v>49</v>
      </c>
      <c r="C90" s="4" t="s">
        <v>2</v>
      </c>
      <c r="D90" s="16">
        <f t="shared" si="4"/>
        <v>15</v>
      </c>
      <c r="E90" s="29">
        <f>E91</f>
        <v>15000</v>
      </c>
      <c r="F90" s="2"/>
    </row>
    <row r="91" spans="1:6" ht="31.2" outlineLevel="2" x14ac:dyDescent="0.3">
      <c r="A91" s="6" t="s">
        <v>10</v>
      </c>
      <c r="B91" s="4" t="s">
        <v>49</v>
      </c>
      <c r="C91" s="4">
        <v>200</v>
      </c>
      <c r="D91" s="16">
        <f t="shared" si="4"/>
        <v>15</v>
      </c>
      <c r="E91" s="29">
        <v>15000</v>
      </c>
      <c r="F91" s="2"/>
    </row>
    <row r="92" spans="1:6" ht="62.4" x14ac:dyDescent="0.3">
      <c r="A92" s="19" t="s">
        <v>81</v>
      </c>
      <c r="B92" s="20" t="s">
        <v>50</v>
      </c>
      <c r="C92" s="20" t="s">
        <v>2</v>
      </c>
      <c r="D92" s="64">
        <f>E92/1000+0.1</f>
        <v>12171.81415</v>
      </c>
      <c r="E92" s="29">
        <f>E93+E96+E100+E102+E104+E106+E98</f>
        <v>12171714.15</v>
      </c>
      <c r="F92" s="2"/>
    </row>
    <row r="93" spans="1:6" ht="31.2" outlineLevel="1" x14ac:dyDescent="0.3">
      <c r="A93" s="6" t="s">
        <v>51</v>
      </c>
      <c r="B93" s="4" t="s">
        <v>52</v>
      </c>
      <c r="C93" s="4" t="s">
        <v>2</v>
      </c>
      <c r="D93" s="16">
        <f t="shared" si="4"/>
        <v>2094.0079700000001</v>
      </c>
      <c r="E93" s="29">
        <f>E94+E95</f>
        <v>2094007.9700000002</v>
      </c>
      <c r="F93" s="2"/>
    </row>
    <row r="94" spans="1:6" ht="31.2" outlineLevel="2" x14ac:dyDescent="0.3">
      <c r="A94" s="6" t="s">
        <v>10</v>
      </c>
      <c r="B94" s="4" t="s">
        <v>52</v>
      </c>
      <c r="C94" s="4" t="s">
        <v>11</v>
      </c>
      <c r="D94" s="16">
        <f t="shared" si="4"/>
        <v>2094.0079700000001</v>
      </c>
      <c r="E94" s="29">
        <f>1533698-0.39+7+792703.36-7500-224900</f>
        <v>2094007.9700000002</v>
      </c>
      <c r="F94" s="2"/>
    </row>
    <row r="95" spans="1:6" outlineLevel="2" x14ac:dyDescent="0.3">
      <c r="A95" s="6" t="s">
        <v>109</v>
      </c>
      <c r="B95" s="4">
        <v>1100004110</v>
      </c>
      <c r="C95" s="4">
        <v>800</v>
      </c>
      <c r="D95" s="16">
        <f t="shared" si="4"/>
        <v>0</v>
      </c>
      <c r="E95" s="29">
        <v>0</v>
      </c>
      <c r="F95" s="2"/>
    </row>
    <row r="96" spans="1:6" outlineLevel="1" x14ac:dyDescent="0.3">
      <c r="A96" s="60" t="s">
        <v>110</v>
      </c>
      <c r="B96" s="4" t="s">
        <v>137</v>
      </c>
      <c r="C96" s="4" t="s">
        <v>2</v>
      </c>
      <c r="D96" s="16">
        <f t="shared" si="4"/>
        <v>1257.3116699999998</v>
      </c>
      <c r="E96" s="29">
        <f>E97</f>
        <v>1257311.67</v>
      </c>
      <c r="F96" s="2"/>
    </row>
    <row r="97" spans="1:6" ht="31.2" outlineLevel="2" x14ac:dyDescent="0.3">
      <c r="A97" s="60" t="s">
        <v>111</v>
      </c>
      <c r="B97" s="4" t="s">
        <v>137</v>
      </c>
      <c r="C97" s="4" t="s">
        <v>11</v>
      </c>
      <c r="D97" s="16">
        <f t="shared" si="4"/>
        <v>1257.3116699999998</v>
      </c>
      <c r="E97" s="29">
        <f>1260300-2988.33</f>
        <v>1257311.67</v>
      </c>
      <c r="F97" s="2"/>
    </row>
    <row r="98" spans="1:6" outlineLevel="2" x14ac:dyDescent="0.3">
      <c r="A98" s="60" t="s">
        <v>112</v>
      </c>
      <c r="B98" s="4" t="s">
        <v>138</v>
      </c>
      <c r="C98" s="4" t="s">
        <v>2</v>
      </c>
      <c r="D98" s="16">
        <f t="shared" si="4"/>
        <v>632.49072999999999</v>
      </c>
      <c r="E98" s="29">
        <f>E99</f>
        <v>632490.73</v>
      </c>
      <c r="F98" s="2"/>
    </row>
    <row r="99" spans="1:6" ht="31.2" outlineLevel="2" x14ac:dyDescent="0.3">
      <c r="A99" s="60" t="s">
        <v>111</v>
      </c>
      <c r="B99" s="4" t="s">
        <v>138</v>
      </c>
      <c r="C99" s="4" t="s">
        <v>11</v>
      </c>
      <c r="D99" s="16">
        <f t="shared" si="4"/>
        <v>632.49072999999999</v>
      </c>
      <c r="E99" s="29">
        <f>616402.39+16088.34</f>
        <v>632490.73</v>
      </c>
      <c r="F99" s="2"/>
    </row>
    <row r="100" spans="1:6" ht="61.2" customHeight="1" outlineLevel="1" x14ac:dyDescent="0.3">
      <c r="A100" s="6" t="s">
        <v>108</v>
      </c>
      <c r="B100" s="4">
        <v>1102815210</v>
      </c>
      <c r="C100" s="4" t="s">
        <v>2</v>
      </c>
      <c r="D100" s="16">
        <f t="shared" si="4"/>
        <v>7209.2</v>
      </c>
      <c r="E100" s="29">
        <f>E101</f>
        <v>7209200</v>
      </c>
      <c r="F100" s="2"/>
    </row>
    <row r="101" spans="1:6" ht="31.2" outlineLevel="2" x14ac:dyDescent="0.3">
      <c r="A101" s="6" t="s">
        <v>10</v>
      </c>
      <c r="B101" s="4">
        <v>1102815210</v>
      </c>
      <c r="C101" s="4" t="s">
        <v>11</v>
      </c>
      <c r="D101" s="16">
        <f t="shared" si="4"/>
        <v>7209.2</v>
      </c>
      <c r="E101" s="29">
        <f>7249800-40600</f>
        <v>7209200</v>
      </c>
      <c r="F101" s="2"/>
    </row>
    <row r="102" spans="1:6" ht="78" outlineLevel="2" x14ac:dyDescent="0.3">
      <c r="A102" s="6" t="s">
        <v>107</v>
      </c>
      <c r="B102" s="27" t="s">
        <v>132</v>
      </c>
      <c r="C102" s="27" t="s">
        <v>2</v>
      </c>
      <c r="D102" s="16">
        <f t="shared" si="4"/>
        <v>7.2176099999999996</v>
      </c>
      <c r="E102" s="29">
        <f>E103</f>
        <v>7217.61</v>
      </c>
      <c r="F102" s="2"/>
    </row>
    <row r="103" spans="1:6" ht="31.2" outlineLevel="2" x14ac:dyDescent="0.3">
      <c r="A103" s="6" t="s">
        <v>10</v>
      </c>
      <c r="B103" s="27" t="s">
        <v>132</v>
      </c>
      <c r="C103" s="27" t="s">
        <v>11</v>
      </c>
      <c r="D103" s="16">
        <f t="shared" si="4"/>
        <v>7.2176099999999996</v>
      </c>
      <c r="E103" s="29">
        <f>7250+8-40.39</f>
        <v>7217.61</v>
      </c>
      <c r="F103" s="2"/>
    </row>
    <row r="104" spans="1:6" outlineLevel="1" x14ac:dyDescent="0.3">
      <c r="A104" s="37" t="s">
        <v>91</v>
      </c>
      <c r="B104" s="48" t="s">
        <v>141</v>
      </c>
      <c r="C104" s="4" t="s">
        <v>2</v>
      </c>
      <c r="D104" s="16">
        <f t="shared" si="4"/>
        <v>645.98699999999997</v>
      </c>
      <c r="E104" s="49">
        <f>E105</f>
        <v>645987</v>
      </c>
      <c r="F104" s="2"/>
    </row>
    <row r="105" spans="1:6" ht="31.2" outlineLevel="2" x14ac:dyDescent="0.3">
      <c r="A105" s="37" t="s">
        <v>73</v>
      </c>
      <c r="B105" s="48" t="s">
        <v>141</v>
      </c>
      <c r="C105" s="4" t="s">
        <v>11</v>
      </c>
      <c r="D105" s="16">
        <f t="shared" si="4"/>
        <v>645.98699999999997</v>
      </c>
      <c r="E105" s="49">
        <v>645987</v>
      </c>
      <c r="F105" s="2"/>
    </row>
    <row r="106" spans="1:6" ht="31.2" outlineLevel="2" x14ac:dyDescent="0.3">
      <c r="A106" s="37" t="s">
        <v>131</v>
      </c>
      <c r="B106" s="48" t="s">
        <v>142</v>
      </c>
      <c r="C106" s="4" t="s">
        <v>2</v>
      </c>
      <c r="D106" s="16">
        <f t="shared" si="4"/>
        <v>325.49916999999999</v>
      </c>
      <c r="E106" s="50">
        <f>E107</f>
        <v>325499.17</v>
      </c>
      <c r="F106" s="2"/>
    </row>
    <row r="107" spans="1:6" ht="31.2" outlineLevel="2" x14ac:dyDescent="0.3">
      <c r="A107" s="37" t="s">
        <v>73</v>
      </c>
      <c r="B107" s="48" t="s">
        <v>142</v>
      </c>
      <c r="C107" s="4" t="s">
        <v>11</v>
      </c>
      <c r="D107" s="16">
        <f t="shared" si="4"/>
        <v>325.49916999999999</v>
      </c>
      <c r="E107" s="50">
        <f>350000-24500.83</f>
        <v>325499.17</v>
      </c>
      <c r="F107" s="2"/>
    </row>
    <row r="108" spans="1:6" hidden="1" outlineLevel="2" x14ac:dyDescent="0.3">
      <c r="A108" s="37"/>
      <c r="B108" s="48"/>
      <c r="C108" s="4"/>
      <c r="D108" s="16"/>
      <c r="E108" s="50"/>
      <c r="F108" s="2"/>
    </row>
    <row r="109" spans="1:6" hidden="1" outlineLevel="2" x14ac:dyDescent="0.3">
      <c r="A109" s="37"/>
      <c r="B109" s="48"/>
      <c r="C109" s="4"/>
      <c r="D109" s="16"/>
      <c r="E109" s="50"/>
      <c r="F109" s="2"/>
    </row>
    <row r="110" spans="1:6" s="43" customFormat="1" ht="46.8" outlineLevel="2" x14ac:dyDescent="0.3">
      <c r="A110" s="39" t="s">
        <v>70</v>
      </c>
      <c r="B110" s="40" t="s">
        <v>53</v>
      </c>
      <c r="C110" s="40" t="s">
        <v>2</v>
      </c>
      <c r="D110" s="64">
        <f t="shared" si="4"/>
        <v>483.16240000000005</v>
      </c>
      <c r="E110" s="41">
        <f>E111+E113+E115</f>
        <v>483162.4</v>
      </c>
      <c r="F110" s="42"/>
    </row>
    <row r="111" spans="1:6" outlineLevel="2" x14ac:dyDescent="0.3">
      <c r="A111" s="37" t="s">
        <v>124</v>
      </c>
      <c r="B111" s="38" t="s">
        <v>119</v>
      </c>
      <c r="C111" s="27" t="s">
        <v>2</v>
      </c>
      <c r="D111" s="16">
        <f t="shared" si="4"/>
        <v>236.3</v>
      </c>
      <c r="E111" s="29">
        <f>E112</f>
        <v>236300</v>
      </c>
      <c r="F111" s="2"/>
    </row>
    <row r="112" spans="1:6" ht="31.2" outlineLevel="2" x14ac:dyDescent="0.3">
      <c r="A112" s="6" t="s">
        <v>10</v>
      </c>
      <c r="B112" s="38" t="s">
        <v>119</v>
      </c>
      <c r="C112" s="27" t="s">
        <v>11</v>
      </c>
      <c r="D112" s="16">
        <f t="shared" si="4"/>
        <v>236.3</v>
      </c>
      <c r="E112" s="29">
        <f>240900-4600</f>
        <v>236300</v>
      </c>
      <c r="F112" s="2"/>
    </row>
    <row r="113" spans="1:6" outlineLevel="2" x14ac:dyDescent="0.3">
      <c r="A113" s="6" t="s">
        <v>125</v>
      </c>
      <c r="B113" s="38" t="s">
        <v>127</v>
      </c>
      <c r="C113" s="27" t="s">
        <v>2</v>
      </c>
      <c r="D113" s="16">
        <f t="shared" si="4"/>
        <v>236.20439999999999</v>
      </c>
      <c r="E113" s="29">
        <f>E114</f>
        <v>236204.4</v>
      </c>
      <c r="F113" s="2"/>
    </row>
    <row r="114" spans="1:6" ht="31.2" outlineLevel="2" x14ac:dyDescent="0.3">
      <c r="A114" s="6" t="s">
        <v>126</v>
      </c>
      <c r="B114" s="38" t="s">
        <v>127</v>
      </c>
      <c r="C114" s="27" t="s">
        <v>11</v>
      </c>
      <c r="D114" s="16">
        <f t="shared" si="4"/>
        <v>236.20439999999999</v>
      </c>
      <c r="E114" s="29">
        <f>240900-4695.6</f>
        <v>236204.4</v>
      </c>
      <c r="F114" s="2"/>
    </row>
    <row r="115" spans="1:6" outlineLevel="2" x14ac:dyDescent="0.3">
      <c r="A115" s="6" t="s">
        <v>125</v>
      </c>
      <c r="B115" s="38">
        <v>1200004410</v>
      </c>
      <c r="C115" s="27" t="s">
        <v>2</v>
      </c>
      <c r="D115" s="16">
        <f t="shared" si="4"/>
        <v>10.658000000000001</v>
      </c>
      <c r="E115" s="29">
        <f>E116</f>
        <v>10658.000000000002</v>
      </c>
      <c r="F115" s="2"/>
    </row>
    <row r="116" spans="1:6" ht="31.2" outlineLevel="2" x14ac:dyDescent="0.3">
      <c r="A116" s="6" t="s">
        <v>126</v>
      </c>
      <c r="B116" s="38">
        <v>1200004410</v>
      </c>
      <c r="C116" s="27" t="s">
        <v>11</v>
      </c>
      <c r="D116" s="16">
        <f t="shared" si="4"/>
        <v>10.658000000000001</v>
      </c>
      <c r="E116" s="29">
        <f>22835.4-12177.4</f>
        <v>10658.000000000002</v>
      </c>
      <c r="F116" s="2"/>
    </row>
    <row r="117" spans="1:6" hidden="1" outlineLevel="2" x14ac:dyDescent="0.3">
      <c r="A117" s="6"/>
      <c r="B117" s="38"/>
      <c r="C117" s="27"/>
      <c r="D117" s="16"/>
      <c r="E117" s="29"/>
      <c r="F117" s="2"/>
    </row>
    <row r="118" spans="1:6" hidden="1" outlineLevel="2" x14ac:dyDescent="0.3">
      <c r="A118" s="6"/>
      <c r="B118" s="38"/>
      <c r="C118" s="27"/>
      <c r="D118" s="16"/>
      <c r="E118" s="29"/>
      <c r="F118" s="2"/>
    </row>
    <row r="119" spans="1:6" ht="46.8" collapsed="1" x14ac:dyDescent="0.3">
      <c r="A119" s="19" t="s">
        <v>120</v>
      </c>
      <c r="B119" s="20" t="s">
        <v>54</v>
      </c>
      <c r="C119" s="20" t="s">
        <v>2</v>
      </c>
      <c r="D119" s="64">
        <f t="shared" si="4"/>
        <v>521.65539999999999</v>
      </c>
      <c r="E119" s="29">
        <f>E120+E122+E130</f>
        <v>521655.39999999997</v>
      </c>
      <c r="F119" s="2"/>
    </row>
    <row r="120" spans="1:6" outlineLevel="1" x14ac:dyDescent="0.3">
      <c r="A120" s="6" t="s">
        <v>121</v>
      </c>
      <c r="B120" s="4" t="s">
        <v>122</v>
      </c>
      <c r="C120" s="4" t="s">
        <v>2</v>
      </c>
      <c r="D120" s="16">
        <f t="shared" si="4"/>
        <v>483.8</v>
      </c>
      <c r="E120" s="29">
        <f>E121</f>
        <v>483800</v>
      </c>
      <c r="F120" s="2"/>
    </row>
    <row r="121" spans="1:6" ht="31.2" outlineLevel="2" x14ac:dyDescent="0.3">
      <c r="A121" s="6" t="s">
        <v>10</v>
      </c>
      <c r="B121" s="4" t="s">
        <v>122</v>
      </c>
      <c r="C121" s="4" t="s">
        <v>11</v>
      </c>
      <c r="D121" s="16">
        <f t="shared" si="4"/>
        <v>483.8</v>
      </c>
      <c r="E121" s="29">
        <f>509200-25439.22+39.22</f>
        <v>483800</v>
      </c>
      <c r="F121" s="2"/>
    </row>
    <row r="122" spans="1:6" ht="31.2" outlineLevel="1" x14ac:dyDescent="0.3">
      <c r="A122" s="6" t="s">
        <v>123</v>
      </c>
      <c r="B122" s="4" t="s">
        <v>136</v>
      </c>
      <c r="C122" s="4" t="s">
        <v>2</v>
      </c>
      <c r="D122" s="16">
        <f t="shared" si="4"/>
        <v>25.461099999999998</v>
      </c>
      <c r="E122" s="29">
        <f>E123</f>
        <v>25461.1</v>
      </c>
      <c r="F122" s="2"/>
    </row>
    <row r="123" spans="1:6" ht="31.2" outlineLevel="2" x14ac:dyDescent="0.3">
      <c r="A123" s="6" t="s">
        <v>10</v>
      </c>
      <c r="B123" s="4" t="s">
        <v>136</v>
      </c>
      <c r="C123" s="4" t="s">
        <v>11</v>
      </c>
      <c r="D123" s="16">
        <f t="shared" si="4"/>
        <v>25.461099999999998</v>
      </c>
      <c r="E123" s="29">
        <f>26800-1338.9</f>
        <v>25461.1</v>
      </c>
      <c r="F123" s="2"/>
    </row>
    <row r="124" spans="1:6" hidden="1" outlineLevel="1" x14ac:dyDescent="0.3">
      <c r="A124" s="6" t="s">
        <v>56</v>
      </c>
      <c r="B124" s="4" t="s">
        <v>57</v>
      </c>
      <c r="C124" s="4" t="s">
        <v>2</v>
      </c>
      <c r="D124" s="16">
        <f t="shared" si="4"/>
        <v>0</v>
      </c>
      <c r="E124" s="29">
        <v>0</v>
      </c>
      <c r="F124" s="2"/>
    </row>
    <row r="125" spans="1:6" ht="31.2" hidden="1" outlineLevel="2" x14ac:dyDescent="0.3">
      <c r="A125" s="6" t="s">
        <v>10</v>
      </c>
      <c r="B125" s="4" t="s">
        <v>57</v>
      </c>
      <c r="C125" s="4" t="s">
        <v>11</v>
      </c>
      <c r="D125" s="16">
        <f t="shared" si="4"/>
        <v>0</v>
      </c>
      <c r="E125" s="29">
        <v>0</v>
      </c>
      <c r="F125" s="2"/>
    </row>
    <row r="126" spans="1:6" ht="31.2" hidden="1" outlineLevel="1" x14ac:dyDescent="0.3">
      <c r="A126" s="6" t="s">
        <v>58</v>
      </c>
      <c r="B126" s="4" t="s">
        <v>59</v>
      </c>
      <c r="C126" s="4" t="s">
        <v>2</v>
      </c>
      <c r="D126" s="16">
        <f t="shared" si="4"/>
        <v>0</v>
      </c>
      <c r="E126" s="29">
        <v>0</v>
      </c>
      <c r="F126" s="2"/>
    </row>
    <row r="127" spans="1:6" ht="31.2" hidden="1" outlineLevel="2" x14ac:dyDescent="0.3">
      <c r="A127" s="6" t="s">
        <v>10</v>
      </c>
      <c r="B127" s="4" t="s">
        <v>59</v>
      </c>
      <c r="C127" s="4" t="s">
        <v>11</v>
      </c>
      <c r="D127" s="16">
        <f t="shared" si="4"/>
        <v>0</v>
      </c>
      <c r="E127" s="29">
        <v>0</v>
      </c>
      <c r="F127" s="2"/>
    </row>
    <row r="128" spans="1:6" hidden="1" outlineLevel="2" x14ac:dyDescent="0.3">
      <c r="A128" s="37" t="s">
        <v>72</v>
      </c>
      <c r="B128" s="4" t="s">
        <v>55</v>
      </c>
      <c r="C128" s="27" t="s">
        <v>2</v>
      </c>
      <c r="D128" s="16">
        <f t="shared" si="4"/>
        <v>0</v>
      </c>
      <c r="E128" s="29">
        <f>E129</f>
        <v>0</v>
      </c>
      <c r="F128" s="2"/>
    </row>
    <row r="129" spans="1:6" ht="31.2" hidden="1" outlineLevel="2" x14ac:dyDescent="0.3">
      <c r="A129" s="6" t="s">
        <v>10</v>
      </c>
      <c r="B129" s="4" t="s">
        <v>55</v>
      </c>
      <c r="C129" s="27" t="s">
        <v>2</v>
      </c>
      <c r="D129" s="16">
        <f t="shared" si="4"/>
        <v>0</v>
      </c>
      <c r="E129" s="29">
        <v>0</v>
      </c>
      <c r="F129" s="2"/>
    </row>
    <row r="130" spans="1:6" ht="31.2" outlineLevel="1" collapsed="1" x14ac:dyDescent="0.3">
      <c r="A130" s="6" t="s">
        <v>60</v>
      </c>
      <c r="B130" s="4">
        <v>1300004430</v>
      </c>
      <c r="C130" s="4" t="s">
        <v>2</v>
      </c>
      <c r="D130" s="16">
        <f t="shared" ref="D130:D143" si="5">E130/1000</f>
        <v>12.394299999999989</v>
      </c>
      <c r="E130" s="29">
        <f>E133</f>
        <v>12394.299999999988</v>
      </c>
      <c r="F130" s="2"/>
    </row>
    <row r="131" spans="1:6" ht="31.2" hidden="1" outlineLevel="2" x14ac:dyDescent="0.3">
      <c r="A131" s="6" t="s">
        <v>10</v>
      </c>
      <c r="B131" s="4">
        <v>1300004430</v>
      </c>
      <c r="C131" s="4" t="s">
        <v>11</v>
      </c>
      <c r="D131" s="16">
        <f t="shared" si="5"/>
        <v>0</v>
      </c>
      <c r="E131" s="29"/>
      <c r="F131" s="2"/>
    </row>
    <row r="132" spans="1:6" ht="31.2" hidden="1" outlineLevel="2" x14ac:dyDescent="0.3">
      <c r="A132" s="6" t="s">
        <v>60</v>
      </c>
      <c r="B132" s="4">
        <v>1300004430</v>
      </c>
      <c r="C132" s="4" t="s">
        <v>2</v>
      </c>
      <c r="D132" s="23">
        <v>152.5</v>
      </c>
      <c r="E132" s="29"/>
      <c r="F132" s="2"/>
    </row>
    <row r="133" spans="1:6" ht="31.2" outlineLevel="2" x14ac:dyDescent="0.3">
      <c r="A133" s="6" t="s">
        <v>10</v>
      </c>
      <c r="B133" s="4">
        <v>1300004430</v>
      </c>
      <c r="C133" s="4" t="s">
        <v>11</v>
      </c>
      <c r="D133" s="23">
        <f>E133/1000</f>
        <v>12.394299999999989</v>
      </c>
      <c r="E133" s="29">
        <f>152500+15000+26778.12-181883.82</f>
        <v>12394.299999999988</v>
      </c>
      <c r="F133" s="2"/>
    </row>
    <row r="134" spans="1:6" hidden="1" outlineLevel="2" x14ac:dyDescent="0.3">
      <c r="A134" s="6"/>
      <c r="B134" s="4"/>
      <c r="C134" s="4"/>
      <c r="D134" s="23"/>
      <c r="E134" s="29"/>
      <c r="F134" s="2"/>
    </row>
    <row r="135" spans="1:6" hidden="1" outlineLevel="2" x14ac:dyDescent="0.3">
      <c r="A135" s="6"/>
      <c r="B135" s="4"/>
      <c r="C135" s="4"/>
      <c r="D135" s="23"/>
      <c r="E135" s="29"/>
      <c r="F135" s="2"/>
    </row>
    <row r="136" spans="1:6" hidden="1" outlineLevel="2" x14ac:dyDescent="0.3">
      <c r="A136" s="6"/>
      <c r="B136" s="4"/>
      <c r="C136" s="4"/>
      <c r="D136" s="23"/>
      <c r="E136" s="29"/>
      <c r="F136" s="2"/>
    </row>
    <row r="137" spans="1:6" hidden="1" outlineLevel="2" x14ac:dyDescent="0.3">
      <c r="A137" s="6"/>
      <c r="B137" s="4"/>
      <c r="C137" s="4"/>
      <c r="D137" s="23"/>
      <c r="E137" s="29"/>
      <c r="F137" s="2"/>
    </row>
    <row r="138" spans="1:6" hidden="1" outlineLevel="2" x14ac:dyDescent="0.3">
      <c r="A138" s="6"/>
      <c r="B138" s="4"/>
      <c r="C138" s="4"/>
      <c r="D138" s="23"/>
      <c r="E138" s="29"/>
      <c r="F138" s="2"/>
    </row>
    <row r="139" spans="1:6" hidden="1" outlineLevel="2" x14ac:dyDescent="0.3">
      <c r="A139" s="6"/>
      <c r="B139" s="4"/>
      <c r="C139" s="4"/>
      <c r="D139" s="23"/>
      <c r="E139" s="29"/>
      <c r="F139" s="2"/>
    </row>
    <row r="140" spans="1:6" hidden="1" outlineLevel="1" x14ac:dyDescent="0.3">
      <c r="A140" s="21" t="s">
        <v>61</v>
      </c>
      <c r="B140" s="22" t="s">
        <v>62</v>
      </c>
      <c r="C140" s="22" t="s">
        <v>2</v>
      </c>
      <c r="D140" s="23">
        <f>E140/1000</f>
        <v>0</v>
      </c>
      <c r="E140" s="36">
        <f>E141</f>
        <v>0</v>
      </c>
      <c r="F140" s="2"/>
    </row>
    <row r="141" spans="1:6" ht="31.2" hidden="1" outlineLevel="2" x14ac:dyDescent="0.3">
      <c r="A141" s="24" t="s">
        <v>10</v>
      </c>
      <c r="B141" s="25" t="s">
        <v>62</v>
      </c>
      <c r="C141" s="25" t="s">
        <v>11</v>
      </c>
      <c r="D141" s="16">
        <f t="shared" si="5"/>
        <v>0</v>
      </c>
      <c r="E141" s="32">
        <v>0</v>
      </c>
      <c r="F141" s="2"/>
    </row>
    <row r="142" spans="1:6" ht="46.8" hidden="1" outlineLevel="2" x14ac:dyDescent="0.3">
      <c r="A142" s="37" t="s">
        <v>69</v>
      </c>
      <c r="B142" s="35" t="s">
        <v>68</v>
      </c>
      <c r="C142" s="35" t="s">
        <v>2</v>
      </c>
      <c r="D142" s="16">
        <f t="shared" si="5"/>
        <v>0</v>
      </c>
      <c r="E142" s="32">
        <f>E143</f>
        <v>0</v>
      </c>
      <c r="F142" s="2"/>
    </row>
    <row r="143" spans="1:6" ht="31.2" hidden="1" outlineLevel="2" x14ac:dyDescent="0.3">
      <c r="A143" s="24" t="s">
        <v>10</v>
      </c>
      <c r="B143" s="35" t="s">
        <v>68</v>
      </c>
      <c r="C143" s="35" t="s">
        <v>11</v>
      </c>
      <c r="D143" s="16">
        <f t="shared" si="5"/>
        <v>0</v>
      </c>
      <c r="E143" s="32">
        <v>0</v>
      </c>
      <c r="F143" s="2"/>
    </row>
    <row r="144" spans="1:6" ht="14.4" customHeight="1" collapsed="1" x14ac:dyDescent="0.3">
      <c r="A144" s="79" t="s">
        <v>63</v>
      </c>
      <c r="B144" s="80"/>
      <c r="C144" s="81"/>
      <c r="D144" s="26">
        <f>E144/1000-0.1-439.9+0.4</f>
        <v>25225.083480000001</v>
      </c>
      <c r="E144" s="31">
        <f>E12+E46+E63+E66+E81+E89+E92+E119+E59+I17+E50+E110</f>
        <v>25664683.48</v>
      </c>
      <c r="F144" s="2"/>
    </row>
    <row r="145" spans="1:6" ht="12.75" customHeight="1" x14ac:dyDescent="0.3">
      <c r="A145" s="7"/>
      <c r="B145" s="3"/>
      <c r="C145" s="3"/>
      <c r="D145" s="3"/>
      <c r="E145" s="3"/>
      <c r="F145" s="2"/>
    </row>
    <row r="146" spans="1:6" ht="25.65" customHeight="1" x14ac:dyDescent="0.3">
      <c r="A146" s="65"/>
      <c r="B146" s="66"/>
      <c r="C146" s="66"/>
      <c r="D146" s="66"/>
      <c r="E146" s="66"/>
      <c r="F146" s="2"/>
    </row>
  </sheetData>
  <mergeCells count="10">
    <mergeCell ref="A146:E146"/>
    <mergeCell ref="A6:E6"/>
    <mergeCell ref="A7:E8"/>
    <mergeCell ref="A10:A11"/>
    <mergeCell ref="B10:B11"/>
    <mergeCell ref="C10:C11"/>
    <mergeCell ref="E10:E11"/>
    <mergeCell ref="D10:D11"/>
    <mergeCell ref="A9:E9"/>
    <mergeCell ref="A144:C144"/>
  </mergeCells>
  <pageMargins left="0.78740157480314965" right="0.59055118110236227" top="0.59055118110236227" bottom="0.59055118110236227" header="0.39370078740157483" footer="0.51181102362204722"/>
  <pageSetup paperSize="9" scale="67" fitToHeight="0" orientation="portrait" r:id="rId1"/>
  <headerFooter>
    <oddHeader>&amp;R&amp;P</oddHeader>
    <evenHeader>&amp;R&amp;P</evenHeader>
  </headerFooter>
  <rowBreaks count="2" manualBreakCount="2">
    <brk id="41" max="16383" man="1"/>
    <brk id="73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2024-12-24T13:48:09Z</cp:lastPrinted>
  <dcterms:created xsi:type="dcterms:W3CDTF">2020-02-04T05:54:42Z</dcterms:created>
  <dcterms:modified xsi:type="dcterms:W3CDTF">2024-12-25T10:10:59Z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