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ЗАМА\Фонд капитального ремонта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Print_Titles" localSheetId="0">Лист1!$3:$8</definedName>
    <definedName name="_xlnm.Print_Area" localSheetId="0">Лист1!$A$1:$AH$84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51" i="1" l="1"/>
  <c r="AG48" i="1"/>
  <c r="AG45" i="1"/>
  <c r="AG34" i="1"/>
  <c r="Y11" i="1"/>
  <c r="R11" i="1"/>
  <c r="K11" i="1"/>
  <c r="D11" i="1"/>
  <c r="T36" i="1"/>
  <c r="AA36" i="1"/>
  <c r="Y34" i="1"/>
  <c r="AA34" i="1" s="1"/>
  <c r="U34" i="1"/>
  <c r="W34" i="1" s="1"/>
  <c r="R34" i="1"/>
  <c r="T34" i="1" s="1"/>
  <c r="AE36" i="1" l="1"/>
  <c r="X36" i="1"/>
  <c r="AH36" i="1"/>
  <c r="AG35" i="1" s="1"/>
  <c r="AH34" i="1" l="1"/>
  <c r="AG33" i="1" s="1"/>
  <c r="AB34" i="1"/>
  <c r="X34" i="1"/>
  <c r="R33" i="1" s="1"/>
  <c r="Y51" i="1"/>
  <c r="Y48" i="1"/>
  <c r="Y42" i="1"/>
  <c r="Y39" i="1"/>
  <c r="Y32" i="1"/>
  <c r="Y29" i="1"/>
  <c r="Y26" i="1"/>
  <c r="Y23" i="1"/>
  <c r="Y20" i="1"/>
  <c r="Y17" i="1"/>
  <c r="Y14" i="1"/>
  <c r="R51" i="1"/>
  <c r="R48" i="1"/>
  <c r="R42" i="1"/>
  <c r="R39" i="1"/>
  <c r="R32" i="1"/>
  <c r="R29" i="1"/>
  <c r="R26" i="1"/>
  <c r="R23" i="1"/>
  <c r="R20" i="1"/>
  <c r="R17" i="1"/>
  <c r="R14" i="1"/>
  <c r="K32" i="1"/>
  <c r="K26" i="1"/>
  <c r="K23" i="1"/>
  <c r="K20" i="1"/>
  <c r="K17" i="1"/>
  <c r="K14" i="1"/>
  <c r="D48" i="1"/>
  <c r="D45" i="1"/>
  <c r="D42" i="1"/>
  <c r="D39" i="1"/>
  <c r="D32" i="1"/>
  <c r="D29" i="1"/>
  <c r="D26" i="1"/>
  <c r="D23" i="1"/>
  <c r="D20" i="1"/>
  <c r="D17" i="1"/>
  <c r="D14" i="1"/>
  <c r="AG11" i="1"/>
  <c r="AE34" i="1" l="1"/>
  <c r="Y33" i="1" s="1"/>
  <c r="AB51" i="1"/>
  <c r="AB48" i="1"/>
  <c r="AB42" i="1"/>
  <c r="AB39" i="1"/>
  <c r="AB32" i="1"/>
  <c r="AB29" i="1"/>
  <c r="AB26" i="1"/>
  <c r="AB23" i="1"/>
  <c r="AB20" i="1"/>
  <c r="AB17" i="1"/>
  <c r="AB14" i="1"/>
  <c r="AB11" i="1"/>
  <c r="U11" i="1"/>
  <c r="U14" i="1"/>
  <c r="U17" i="1"/>
  <c r="U20" i="1"/>
  <c r="U23" i="1"/>
  <c r="U26" i="1"/>
  <c r="U51" i="1"/>
  <c r="U48" i="1"/>
  <c r="U42" i="1"/>
  <c r="U39" i="1"/>
  <c r="U29" i="1"/>
  <c r="U32" i="1"/>
  <c r="AE29" i="1"/>
  <c r="AC29" i="1"/>
  <c r="AC51" i="1"/>
  <c r="AC48" i="1"/>
  <c r="AC42" i="1"/>
  <c r="AC39" i="1"/>
  <c r="AC32" i="1"/>
  <c r="AC26" i="1"/>
  <c r="AC23" i="1"/>
  <c r="AC20" i="1"/>
  <c r="AC17" i="1"/>
  <c r="AC14" i="1"/>
  <c r="V51" i="1"/>
  <c r="V48" i="1"/>
  <c r="V42" i="1"/>
  <c r="V39" i="1"/>
  <c r="V32" i="1"/>
  <c r="V29" i="1"/>
  <c r="V26" i="1"/>
  <c r="V23" i="1"/>
  <c r="V20" i="1"/>
  <c r="V17" i="1"/>
  <c r="V14" i="1"/>
  <c r="O51" i="1"/>
  <c r="O48" i="1"/>
  <c r="O45" i="1"/>
  <c r="O42" i="1"/>
  <c r="O39" i="1"/>
  <c r="O32" i="1"/>
  <c r="O29" i="1"/>
  <c r="O26" i="1"/>
  <c r="O23" i="1"/>
  <c r="O20" i="1"/>
  <c r="O17" i="1"/>
  <c r="O14" i="1"/>
  <c r="H48" i="1"/>
  <c r="H45" i="1"/>
  <c r="H42" i="1"/>
  <c r="H39" i="1"/>
  <c r="H32" i="1"/>
  <c r="H29" i="1"/>
  <c r="H26" i="1"/>
  <c r="H23" i="1"/>
  <c r="H20" i="1"/>
  <c r="H17" i="1"/>
  <c r="H14" i="1"/>
  <c r="AC11" i="1"/>
  <c r="V11" i="1"/>
  <c r="O11" i="1"/>
  <c r="N51" i="1"/>
  <c r="N48" i="1"/>
  <c r="N45" i="1"/>
  <c r="N42" i="1"/>
  <c r="N39" i="1"/>
  <c r="N32" i="1"/>
  <c r="N29" i="1"/>
  <c r="N26" i="1"/>
  <c r="N23" i="1"/>
  <c r="N20" i="1"/>
  <c r="N17" i="1"/>
  <c r="N14" i="1"/>
  <c r="N11" i="1"/>
  <c r="G48" i="1"/>
  <c r="G45" i="1"/>
  <c r="G42" i="1"/>
  <c r="G39" i="1"/>
  <c r="G32" i="1"/>
  <c r="G29" i="1"/>
  <c r="G26" i="1"/>
  <c r="G23" i="1"/>
  <c r="G20" i="1"/>
  <c r="G17" i="1"/>
  <c r="G14" i="1"/>
  <c r="G11" i="1"/>
  <c r="U79" i="1" l="1"/>
  <c r="U77" i="1"/>
  <c r="U73" i="1"/>
  <c r="U75" i="1"/>
  <c r="U69" i="1"/>
  <c r="N79" i="1"/>
  <c r="O69" i="1"/>
  <c r="H73" i="1"/>
  <c r="O75" i="1"/>
  <c r="O77" i="1"/>
  <c r="V69" i="1"/>
  <c r="H71" i="1"/>
  <c r="V77" i="1"/>
  <c r="V73" i="1"/>
  <c r="N69" i="1"/>
  <c r="N75" i="1"/>
  <c r="V75" i="1"/>
  <c r="G71" i="1"/>
  <c r="O71" i="1"/>
  <c r="V79" i="1"/>
  <c r="G73" i="1"/>
  <c r="N71" i="1"/>
  <c r="N53" i="1"/>
  <c r="N77" i="1"/>
  <c r="O53" i="1"/>
  <c r="O73" i="1"/>
  <c r="O79" i="1"/>
  <c r="N73" i="1"/>
  <c r="AB79" i="1"/>
  <c r="AC79" i="1"/>
  <c r="AB77" i="1"/>
  <c r="AC77" i="1"/>
  <c r="AB75" i="1"/>
  <c r="AC75" i="1"/>
  <c r="AB73" i="1"/>
  <c r="AC73" i="1"/>
  <c r="AB69" i="1"/>
  <c r="AC69" i="1"/>
  <c r="AB67" i="1"/>
  <c r="AC67" i="1"/>
  <c r="AB63" i="1"/>
  <c r="AC63" i="1"/>
  <c r="AB61" i="1"/>
  <c r="AC61" i="1"/>
  <c r="AB57" i="1"/>
  <c r="AC57" i="1"/>
  <c r="AB55" i="1"/>
  <c r="AC55" i="1"/>
  <c r="U67" i="1"/>
  <c r="V67" i="1"/>
  <c r="U61" i="1"/>
  <c r="V61" i="1"/>
  <c r="N67" i="1"/>
  <c r="O67" i="1"/>
  <c r="N65" i="1"/>
  <c r="O65" i="1"/>
  <c r="N63" i="1"/>
  <c r="O63" i="1"/>
  <c r="N61" i="1"/>
  <c r="O61" i="1"/>
  <c r="N59" i="1"/>
  <c r="O59" i="1"/>
  <c r="N57" i="1"/>
  <c r="O57" i="1"/>
  <c r="N55" i="1"/>
  <c r="O55" i="1"/>
  <c r="G79" i="1"/>
  <c r="H79" i="1"/>
  <c r="G77" i="1"/>
  <c r="H77" i="1"/>
  <c r="G67" i="1"/>
  <c r="H67" i="1"/>
  <c r="G65" i="1"/>
  <c r="H65" i="1"/>
  <c r="G61" i="1"/>
  <c r="H61" i="1"/>
  <c r="G59" i="1"/>
  <c r="H59" i="1"/>
  <c r="G55" i="1"/>
  <c r="H55" i="1"/>
  <c r="G53" i="1"/>
  <c r="H53" i="1"/>
  <c r="AD4" i="1"/>
  <c r="W4" i="1"/>
  <c r="P4" i="1"/>
  <c r="I4" i="1"/>
  <c r="AD29" i="1" l="1"/>
  <c r="AD34" i="1"/>
  <c r="U55" i="1"/>
  <c r="V55" i="1"/>
  <c r="U57" i="1"/>
  <c r="U63" i="1"/>
  <c r="V57" i="1" l="1"/>
  <c r="V63" i="1"/>
  <c r="H11" i="1" l="1"/>
  <c r="Z4" i="1"/>
  <c r="AA4" i="1" s="1"/>
  <c r="S4" i="1"/>
  <c r="T4" i="1" s="1"/>
  <c r="L4" i="1"/>
  <c r="M4" i="1" s="1"/>
  <c r="E4" i="1"/>
  <c r="F4" i="1" s="1"/>
  <c r="F11" i="1" s="1"/>
  <c r="T23" i="1" l="1"/>
  <c r="T26" i="1"/>
  <c r="T29" i="1"/>
  <c r="T32" i="1"/>
  <c r="T11" i="1"/>
  <c r="T39" i="1"/>
  <c r="T14" i="1"/>
  <c r="T42" i="1"/>
  <c r="T17" i="1"/>
  <c r="T48" i="1"/>
  <c r="T20" i="1"/>
  <c r="T51" i="1"/>
  <c r="AA51" i="1"/>
  <c r="AA20" i="1"/>
  <c r="AA48" i="1"/>
  <c r="AA17" i="1"/>
  <c r="AA42" i="1"/>
  <c r="AA14" i="1"/>
  <c r="AA39" i="1"/>
  <c r="AA11" i="1"/>
  <c r="AA32" i="1"/>
  <c r="AA29" i="1"/>
  <c r="AA26" i="1"/>
  <c r="AA23" i="1"/>
  <c r="F39" i="1"/>
  <c r="F32" i="1"/>
  <c r="F42" i="1"/>
  <c r="F29" i="1"/>
  <c r="F45" i="1"/>
  <c r="F14" i="1"/>
  <c r="F26" i="1"/>
  <c r="F17" i="1"/>
  <c r="F23" i="1"/>
  <c r="F48" i="1"/>
  <c r="F20" i="1"/>
  <c r="M39" i="1"/>
  <c r="M11" i="1"/>
  <c r="M42" i="1"/>
  <c r="M32" i="1"/>
  <c r="M29" i="1"/>
  <c r="M14" i="1"/>
  <c r="M26" i="1"/>
  <c r="M51" i="1"/>
  <c r="M23" i="1"/>
  <c r="M48" i="1"/>
  <c r="M20" i="1"/>
  <c r="M45" i="1"/>
  <c r="M17" i="1"/>
  <c r="AD51" i="1"/>
  <c r="W51" i="1"/>
  <c r="K51" i="1"/>
  <c r="P51" i="1" s="1"/>
  <c r="AD48" i="1"/>
  <c r="W48" i="1"/>
  <c r="S48" i="1" s="1"/>
  <c r="K48" i="1"/>
  <c r="P48" i="1" s="1"/>
  <c r="I48" i="1"/>
  <c r="K45" i="1"/>
  <c r="P45" i="1" s="1"/>
  <c r="I45" i="1"/>
  <c r="AG42" i="1"/>
  <c r="AD42" i="1"/>
  <c r="W42" i="1"/>
  <c r="K42" i="1"/>
  <c r="P42" i="1" s="1"/>
  <c r="I42" i="1"/>
  <c r="AG39" i="1"/>
  <c r="AD39" i="1"/>
  <c r="W39" i="1"/>
  <c r="K39" i="1"/>
  <c r="P39" i="1" s="1"/>
  <c r="I39" i="1"/>
  <c r="AG32" i="1"/>
  <c r="AD32" i="1"/>
  <c r="W32" i="1"/>
  <c r="P32" i="1"/>
  <c r="I32" i="1"/>
  <c r="AG29" i="1"/>
  <c r="W29" i="1"/>
  <c r="K29" i="1"/>
  <c r="P29" i="1" s="1"/>
  <c r="I29" i="1"/>
  <c r="AG26" i="1"/>
  <c r="AD26" i="1"/>
  <c r="W26" i="1"/>
  <c r="S26" i="1" s="1"/>
  <c r="P26" i="1"/>
  <c r="I26" i="1"/>
  <c r="AG23" i="1"/>
  <c r="AD23" i="1"/>
  <c r="W23" i="1"/>
  <c r="P23" i="1"/>
  <c r="I23" i="1"/>
  <c r="AG20" i="1"/>
  <c r="AD20" i="1"/>
  <c r="W20" i="1"/>
  <c r="S20" i="1" s="1"/>
  <c r="P20" i="1"/>
  <c r="I20" i="1"/>
  <c r="AG17" i="1"/>
  <c r="AD17" i="1"/>
  <c r="I17" i="1"/>
  <c r="AG14" i="1"/>
  <c r="AD14" i="1"/>
  <c r="W14" i="1"/>
  <c r="P14" i="1"/>
  <c r="I14" i="1"/>
  <c r="AD11" i="1"/>
  <c r="W11" i="1"/>
  <c r="E14" i="1" l="1"/>
  <c r="Z51" i="1"/>
  <c r="AB50" i="1" s="1"/>
  <c r="S51" i="1"/>
  <c r="S32" i="1"/>
  <c r="I11" i="1"/>
  <c r="E11" i="1" s="1"/>
  <c r="F10" i="1" s="1"/>
  <c r="J11" i="1"/>
  <c r="Z17" i="1"/>
  <c r="AA16" i="1" s="1"/>
  <c r="S23" i="1"/>
  <c r="W22" i="1" s="1"/>
  <c r="Z23" i="1"/>
  <c r="AC22" i="1" s="1"/>
  <c r="S39" i="1"/>
  <c r="W38" i="1" s="1"/>
  <c r="Z20" i="1"/>
  <c r="AD19" i="1" s="1"/>
  <c r="L48" i="1"/>
  <c r="P47" i="1" s="1"/>
  <c r="AA69" i="1"/>
  <c r="AA55" i="1"/>
  <c r="AA67" i="1"/>
  <c r="AA57" i="1"/>
  <c r="Z29" i="1"/>
  <c r="T77" i="1"/>
  <c r="T79" i="1"/>
  <c r="AA61" i="1"/>
  <c r="AA75" i="1"/>
  <c r="AA63" i="1"/>
  <c r="AA73" i="1"/>
  <c r="L51" i="1"/>
  <c r="M50" i="1" s="1"/>
  <c r="E23" i="1"/>
  <c r="I22" i="1" s="1"/>
  <c r="Z26" i="1"/>
  <c r="AB25" i="1" s="1"/>
  <c r="AA77" i="1"/>
  <c r="AA79" i="1"/>
  <c r="T67" i="1"/>
  <c r="T69" i="1"/>
  <c r="T55" i="1"/>
  <c r="T57" i="1"/>
  <c r="Z11" i="1"/>
  <c r="AD10" i="1" s="1"/>
  <c r="T75" i="1"/>
  <c r="T63" i="1"/>
  <c r="T61" i="1"/>
  <c r="T73" i="1"/>
  <c r="S42" i="1"/>
  <c r="U41" i="1" s="1"/>
  <c r="Z48" i="1"/>
  <c r="AC47" i="1" s="1"/>
  <c r="AD50" i="1"/>
  <c r="AC50" i="1"/>
  <c r="AA50" i="1"/>
  <c r="T19" i="1"/>
  <c r="W19" i="1"/>
  <c r="V19" i="1"/>
  <c r="U19" i="1"/>
  <c r="W25" i="1"/>
  <c r="V25" i="1"/>
  <c r="U25" i="1"/>
  <c r="T25" i="1"/>
  <c r="W50" i="1"/>
  <c r="V50" i="1"/>
  <c r="U50" i="1"/>
  <c r="T50" i="1"/>
  <c r="T47" i="1"/>
  <c r="U47" i="1"/>
  <c r="W47" i="1"/>
  <c r="V47" i="1"/>
  <c r="E17" i="1"/>
  <c r="I16" i="1" s="1"/>
  <c r="L20" i="1"/>
  <c r="P19" i="1" s="1"/>
  <c r="L42" i="1"/>
  <c r="S11" i="1"/>
  <c r="L45" i="1"/>
  <c r="P44" i="1" s="1"/>
  <c r="E26" i="1"/>
  <c r="I25" i="1" s="1"/>
  <c r="S14" i="1"/>
  <c r="W79" i="1"/>
  <c r="W77" i="1"/>
  <c r="W69" i="1"/>
  <c r="S29" i="1"/>
  <c r="W55" i="1"/>
  <c r="W67" i="1"/>
  <c r="W57" i="1"/>
  <c r="E45" i="1"/>
  <c r="F44" i="1" s="1"/>
  <c r="P77" i="1"/>
  <c r="P79" i="1"/>
  <c r="Z42" i="1"/>
  <c r="AD67" i="1"/>
  <c r="AD69" i="1"/>
  <c r="F77" i="1"/>
  <c r="I13" i="1"/>
  <c r="F79" i="1"/>
  <c r="Z14" i="1"/>
  <c r="AD77" i="1"/>
  <c r="AD79" i="1"/>
  <c r="P11" i="1"/>
  <c r="L23" i="1"/>
  <c r="M22" i="1" s="1"/>
  <c r="L39" i="1"/>
  <c r="P38" i="1" s="1"/>
  <c r="F65" i="1"/>
  <c r="F53" i="1"/>
  <c r="F67" i="1"/>
  <c r="F55" i="1"/>
  <c r="E29" i="1"/>
  <c r="I73" i="1"/>
  <c r="I71" i="1"/>
  <c r="I59" i="1"/>
  <c r="I61" i="1"/>
  <c r="Z39" i="1"/>
  <c r="AD38" i="1" s="1"/>
  <c r="AD57" i="1"/>
  <c r="AD55" i="1"/>
  <c r="E20" i="1"/>
  <c r="I19" i="1" s="1"/>
  <c r="E42" i="1"/>
  <c r="F41" i="1" s="1"/>
  <c r="P53" i="1"/>
  <c r="P69" i="1"/>
  <c r="P67" i="1"/>
  <c r="P57" i="1"/>
  <c r="P55" i="1"/>
  <c r="P65" i="1"/>
  <c r="P17" i="1"/>
  <c r="P59" i="1"/>
  <c r="P71" i="1"/>
  <c r="P75" i="1"/>
  <c r="P73" i="1"/>
  <c r="P61" i="1"/>
  <c r="P63" i="1"/>
  <c r="L26" i="1"/>
  <c r="P25" i="1" s="1"/>
  <c r="E48" i="1"/>
  <c r="I47" i="1" s="1"/>
  <c r="F71" i="1"/>
  <c r="F73" i="1"/>
  <c r="F61" i="1"/>
  <c r="F59" i="1"/>
  <c r="E32" i="1"/>
  <c r="I31" i="1" s="1"/>
  <c r="W75" i="1"/>
  <c r="W73" i="1"/>
  <c r="W61" i="1"/>
  <c r="W63" i="1"/>
  <c r="M79" i="1"/>
  <c r="M77" i="1"/>
  <c r="L14" i="1"/>
  <c r="M13" i="1" s="1"/>
  <c r="E39" i="1"/>
  <c r="I38" i="1" s="1"/>
  <c r="I65" i="1"/>
  <c r="I53" i="1"/>
  <c r="I67" i="1"/>
  <c r="I55" i="1"/>
  <c r="M75" i="1"/>
  <c r="M73" i="1"/>
  <c r="M71" i="1"/>
  <c r="M61" i="1"/>
  <c r="M59" i="1"/>
  <c r="L32" i="1"/>
  <c r="M31" i="1" s="1"/>
  <c r="M63" i="1"/>
  <c r="S17" i="1"/>
  <c r="T16" i="1" s="1"/>
  <c r="W17" i="1"/>
  <c r="I77" i="1"/>
  <c r="I79" i="1"/>
  <c r="AD61" i="1"/>
  <c r="Z32" i="1"/>
  <c r="AD73" i="1"/>
  <c r="AD63" i="1"/>
  <c r="AD75" i="1"/>
  <c r="M69" i="1"/>
  <c r="M53" i="1"/>
  <c r="M67" i="1"/>
  <c r="M55" i="1"/>
  <c r="M65" i="1"/>
  <c r="M57" i="1"/>
  <c r="L29" i="1"/>
  <c r="M28" i="1" s="1"/>
  <c r="Y79" i="1"/>
  <c r="R79" i="1"/>
  <c r="K79" i="1"/>
  <c r="D79" i="1"/>
  <c r="Y77" i="1"/>
  <c r="R77" i="1"/>
  <c r="K77" i="1"/>
  <c r="E53" i="1" l="1"/>
  <c r="D9" i="1"/>
  <c r="AC19" i="1"/>
  <c r="AD22" i="1"/>
  <c r="AB19" i="1"/>
  <c r="V38" i="1"/>
  <c r="AS19" i="1"/>
  <c r="AX19" i="1"/>
  <c r="AS38" i="1"/>
  <c r="AX38" i="1"/>
  <c r="AA19" i="1"/>
  <c r="AP50" i="1"/>
  <c r="AU50" i="1"/>
  <c r="AN19" i="1"/>
  <c r="AB22" i="1"/>
  <c r="AC16" i="1"/>
  <c r="AA22" i="1"/>
  <c r="AB16" i="1"/>
  <c r="AD16" i="1"/>
  <c r="T38" i="1"/>
  <c r="V41" i="1"/>
  <c r="AK50" i="1"/>
  <c r="P28" i="1"/>
  <c r="W16" i="1"/>
  <c r="AB10" i="1"/>
  <c r="AA47" i="1"/>
  <c r="M47" i="1"/>
  <c r="AA10" i="1"/>
  <c r="AC10" i="1"/>
  <c r="AD47" i="1"/>
  <c r="AN47" i="1" s="1"/>
  <c r="P22" i="1"/>
  <c r="AN22" i="1" s="1"/>
  <c r="M38" i="1"/>
  <c r="U38" i="1"/>
  <c r="U22" i="1"/>
  <c r="AD25" i="1"/>
  <c r="AN25" i="1" s="1"/>
  <c r="T22" i="1"/>
  <c r="M25" i="1"/>
  <c r="F22" i="1"/>
  <c r="V22" i="1"/>
  <c r="AB47" i="1"/>
  <c r="F25" i="1"/>
  <c r="I10" i="1"/>
  <c r="I41" i="1"/>
  <c r="F38" i="1"/>
  <c r="AC28" i="1"/>
  <c r="AB28" i="1"/>
  <c r="AD28" i="1"/>
  <c r="Y27" i="1"/>
  <c r="N31" i="1"/>
  <c r="O31" i="1"/>
  <c r="H47" i="1"/>
  <c r="G47" i="1"/>
  <c r="L17" i="1"/>
  <c r="P16" i="1" s="1"/>
  <c r="G19" i="1"/>
  <c r="H19" i="1"/>
  <c r="H28" i="1"/>
  <c r="G28" i="1"/>
  <c r="O19" i="1"/>
  <c r="N19" i="1"/>
  <c r="W41" i="1"/>
  <c r="AC25" i="1"/>
  <c r="I28" i="1"/>
  <c r="P31" i="1"/>
  <c r="AA28" i="1"/>
  <c r="O47" i="1"/>
  <c r="N47" i="1"/>
  <c r="N41" i="1"/>
  <c r="O41" i="1"/>
  <c r="N25" i="1"/>
  <c r="O25" i="1"/>
  <c r="H16" i="1"/>
  <c r="G16" i="1"/>
  <c r="T41" i="1"/>
  <c r="AA25" i="1"/>
  <c r="P13" i="1"/>
  <c r="F19" i="1"/>
  <c r="P41" i="1"/>
  <c r="P50" i="1"/>
  <c r="O50" i="1"/>
  <c r="N50" i="1"/>
  <c r="I44" i="1"/>
  <c r="N13" i="1"/>
  <c r="O13" i="1"/>
  <c r="G13" i="1"/>
  <c r="H13" i="1"/>
  <c r="H25" i="1"/>
  <c r="G25" i="1"/>
  <c r="O38" i="1"/>
  <c r="N38" i="1"/>
  <c r="O44" i="1"/>
  <c r="N44" i="1"/>
  <c r="M44" i="1"/>
  <c r="AU44" i="1" s="1"/>
  <c r="G10" i="1"/>
  <c r="H10" i="1"/>
  <c r="M41" i="1"/>
  <c r="H38" i="1"/>
  <c r="G38" i="1"/>
  <c r="G31" i="1"/>
  <c r="H31" i="1"/>
  <c r="H44" i="1"/>
  <c r="G44" i="1"/>
  <c r="F13" i="1"/>
  <c r="U16" i="1"/>
  <c r="V16" i="1"/>
  <c r="O22" i="1"/>
  <c r="N22" i="1"/>
  <c r="F47" i="1"/>
  <c r="F16" i="1"/>
  <c r="H22" i="1"/>
  <c r="G22" i="1"/>
  <c r="F28" i="1"/>
  <c r="M19" i="1"/>
  <c r="O28" i="1"/>
  <c r="N28" i="1"/>
  <c r="G41" i="1"/>
  <c r="H41" i="1"/>
  <c r="F31" i="1"/>
  <c r="AD41" i="1"/>
  <c r="AC41" i="1"/>
  <c r="AB41" i="1"/>
  <c r="AA41" i="1"/>
  <c r="AN38" i="1"/>
  <c r="AC38" i="1"/>
  <c r="AA38" i="1"/>
  <c r="AB38" i="1"/>
  <c r="AD31" i="1"/>
  <c r="AC31" i="1"/>
  <c r="AA31" i="1"/>
  <c r="AB31" i="1"/>
  <c r="AD13" i="1"/>
  <c r="AC13" i="1"/>
  <c r="AA13" i="1"/>
  <c r="AB13" i="1"/>
  <c r="W10" i="1"/>
  <c r="V10" i="1"/>
  <c r="T10" i="1"/>
  <c r="U10" i="1"/>
  <c r="S77" i="1"/>
  <c r="W13" i="1"/>
  <c r="V13" i="1"/>
  <c r="U13" i="1"/>
  <c r="T13" i="1"/>
  <c r="U28" i="1"/>
  <c r="T28" i="1"/>
  <c r="W28" i="1"/>
  <c r="V28" i="1"/>
  <c r="T31" i="1"/>
  <c r="W31" i="1"/>
  <c r="U31" i="1"/>
  <c r="V31" i="1"/>
  <c r="S79" i="1"/>
  <c r="E77" i="1"/>
  <c r="E79" i="1"/>
  <c r="L77" i="1"/>
  <c r="L11" i="1"/>
  <c r="L79" i="1"/>
  <c r="Z79" i="1"/>
  <c r="Z77" i="1"/>
  <c r="AE32" i="1"/>
  <c r="Y30" i="1" s="1"/>
  <c r="X32" i="1"/>
  <c r="R30" i="1" s="1"/>
  <c r="Q32" i="1"/>
  <c r="K30" i="1" s="1"/>
  <c r="Q29" i="1"/>
  <c r="K27" i="1" s="1"/>
  <c r="J32" i="1"/>
  <c r="D30" i="1" s="1"/>
  <c r="AE51" i="1"/>
  <c r="Y49" i="1" s="1"/>
  <c r="AE48" i="1"/>
  <c r="Y46" i="1" s="1"/>
  <c r="X51" i="1"/>
  <c r="R49" i="1" s="1"/>
  <c r="X48" i="1"/>
  <c r="R46" i="1" s="1"/>
  <c r="Q51" i="1"/>
  <c r="K49" i="1" s="1"/>
  <c r="Q48" i="1"/>
  <c r="K46" i="1" s="1"/>
  <c r="Q45" i="1"/>
  <c r="K43" i="1" s="1"/>
  <c r="J48" i="1"/>
  <c r="D46" i="1" s="1"/>
  <c r="J45" i="1"/>
  <c r="D43" i="1" s="1"/>
  <c r="AE26" i="1"/>
  <c r="Y24" i="1" s="1"/>
  <c r="X26" i="1"/>
  <c r="R24" i="1" s="1"/>
  <c r="Q26" i="1"/>
  <c r="K24" i="1" s="1"/>
  <c r="J26" i="1"/>
  <c r="D24" i="1" s="1"/>
  <c r="AE23" i="1"/>
  <c r="Y21" i="1" s="1"/>
  <c r="X23" i="1"/>
  <c r="R21" i="1" s="1"/>
  <c r="Q23" i="1"/>
  <c r="K21" i="1" s="1"/>
  <c r="J23" i="1"/>
  <c r="D21" i="1" s="1"/>
  <c r="AE20" i="1"/>
  <c r="Y18" i="1" s="1"/>
  <c r="X20" i="1"/>
  <c r="R18" i="1" s="1"/>
  <c r="Q20" i="1"/>
  <c r="K18" i="1" s="1"/>
  <c r="J20" i="1"/>
  <c r="D18" i="1" s="1"/>
  <c r="AE17" i="1"/>
  <c r="Y15" i="1" s="1"/>
  <c r="X17" i="1"/>
  <c r="R15" i="1" s="1"/>
  <c r="Q17" i="1"/>
  <c r="J17" i="1"/>
  <c r="D15" i="1" s="1"/>
  <c r="AE14" i="1"/>
  <c r="Y12" i="1" s="1"/>
  <c r="X14" i="1"/>
  <c r="R12" i="1" s="1"/>
  <c r="Q14" i="1"/>
  <c r="K12" i="1" s="1"/>
  <c r="J14" i="1"/>
  <c r="D12" i="1" s="1"/>
  <c r="AE11" i="1"/>
  <c r="Y9" i="1" s="1"/>
  <c r="X11" i="1"/>
  <c r="R9" i="1" s="1"/>
  <c r="Q11" i="1"/>
  <c r="K9" i="1" s="1"/>
  <c r="BC38" i="1" l="1"/>
  <c r="AS13" i="1"/>
  <c r="AU41" i="1"/>
  <c r="AX31" i="1"/>
  <c r="AZ50" i="1"/>
  <c r="AS31" i="1"/>
  <c r="AS16" i="1"/>
  <c r="AX16" i="1"/>
  <c r="AV41" i="1"/>
  <c r="AQ41" i="1"/>
  <c r="AU47" i="1"/>
  <c r="AP47" i="1"/>
  <c r="AR31" i="1"/>
  <c r="AW31" i="1"/>
  <c r="AR47" i="1"/>
  <c r="AW47" i="1"/>
  <c r="AS41" i="1"/>
  <c r="AX41" i="1"/>
  <c r="AV31" i="1"/>
  <c r="AQ31" i="1"/>
  <c r="AX25" i="1"/>
  <c r="AV38" i="1"/>
  <c r="AQ38" i="1"/>
  <c r="AX44" i="1"/>
  <c r="AN44" i="1"/>
  <c r="AS44" i="1"/>
  <c r="AV28" i="1"/>
  <c r="AQ28" i="1"/>
  <c r="AU25" i="1"/>
  <c r="AP25" i="1"/>
  <c r="AS25" i="1"/>
  <c r="AX22" i="1"/>
  <c r="AR38" i="1"/>
  <c r="AW38" i="1"/>
  <c r="AR28" i="1"/>
  <c r="AW28" i="1"/>
  <c r="AX13" i="1"/>
  <c r="BC13" i="1" s="1"/>
  <c r="AS22" i="1"/>
  <c r="BC19" i="1"/>
  <c r="AU28" i="1"/>
  <c r="AP28" i="1"/>
  <c r="AV25" i="1"/>
  <c r="AQ25" i="1"/>
  <c r="AR19" i="1"/>
  <c r="AW19" i="1"/>
  <c r="AX47" i="1"/>
  <c r="AV22" i="1"/>
  <c r="AQ22" i="1"/>
  <c r="AU13" i="1"/>
  <c r="AP13" i="1"/>
  <c r="AR25" i="1"/>
  <c r="AW25" i="1"/>
  <c r="AS28" i="1"/>
  <c r="AX28" i="1"/>
  <c r="AV19" i="1"/>
  <c r="AQ19" i="1"/>
  <c r="AU22" i="1"/>
  <c r="AP22" i="1"/>
  <c r="AP44" i="1"/>
  <c r="AZ44" i="1" s="1"/>
  <c r="AS47" i="1"/>
  <c r="AU31" i="1"/>
  <c r="AP31" i="1"/>
  <c r="AR22" i="1"/>
  <c r="AW22" i="1"/>
  <c r="AV44" i="1"/>
  <c r="AL44" i="1"/>
  <c r="AQ44" i="1"/>
  <c r="AR13" i="1"/>
  <c r="AW13" i="1"/>
  <c r="AK44" i="1"/>
  <c r="AP41" i="1"/>
  <c r="AZ41" i="1" s="1"/>
  <c r="AR41" i="1"/>
  <c r="AW41" i="1"/>
  <c r="AW44" i="1"/>
  <c r="AM44" i="1"/>
  <c r="AR44" i="1"/>
  <c r="BB44" i="1" s="1"/>
  <c r="AV13" i="1"/>
  <c r="AQ13" i="1"/>
  <c r="AU19" i="1"/>
  <c r="AP19" i="1"/>
  <c r="AV47" i="1"/>
  <c r="AQ47" i="1"/>
  <c r="AU38" i="1"/>
  <c r="AP38" i="1"/>
  <c r="AL50" i="1"/>
  <c r="AV50" i="1"/>
  <c r="AQ50" i="1"/>
  <c r="AM50" i="1"/>
  <c r="AW50" i="1"/>
  <c r="AR50" i="1"/>
  <c r="AN50" i="1"/>
  <c r="AX50" i="1"/>
  <c r="AS50" i="1"/>
  <c r="AL19" i="1"/>
  <c r="AL25" i="1"/>
  <c r="AM25" i="1"/>
  <c r="AK22" i="1"/>
  <c r="K15" i="1"/>
  <c r="AN31" i="1"/>
  <c r="AN16" i="1"/>
  <c r="AN13" i="1"/>
  <c r="AK41" i="1"/>
  <c r="AL31" i="1"/>
  <c r="AL28" i="1"/>
  <c r="AK25" i="1"/>
  <c r="AK28" i="1"/>
  <c r="AM38" i="1"/>
  <c r="AM28" i="1"/>
  <c r="AL22" i="1"/>
  <c r="AK13" i="1"/>
  <c r="AM19" i="1"/>
  <c r="AL38" i="1"/>
  <c r="AK31" i="1"/>
  <c r="AM22" i="1"/>
  <c r="BS10" i="1"/>
  <c r="AN28" i="1"/>
  <c r="AM41" i="1"/>
  <c r="AM13" i="1"/>
  <c r="AL41" i="1"/>
  <c r="AK47" i="1"/>
  <c r="AL13" i="1"/>
  <c r="AK19" i="1"/>
  <c r="AL47" i="1"/>
  <c r="AK38" i="1"/>
  <c r="AM31" i="1"/>
  <c r="AM47" i="1"/>
  <c r="AN41" i="1"/>
  <c r="BS11" i="1"/>
  <c r="BP11" i="1"/>
  <c r="BP10" i="1"/>
  <c r="BR11" i="1"/>
  <c r="BR10" i="1"/>
  <c r="O10" i="1"/>
  <c r="AM10" i="1" s="1"/>
  <c r="N10" i="1"/>
  <c r="AV10" i="1" s="1"/>
  <c r="M10" i="1"/>
  <c r="BQ10" i="1"/>
  <c r="BQ11" i="1"/>
  <c r="O16" i="1"/>
  <c r="AM16" i="1" s="1"/>
  <c r="N16" i="1"/>
  <c r="AL16" i="1" s="1"/>
  <c r="M16" i="1"/>
  <c r="AK16" i="1" s="1"/>
  <c r="P10" i="1"/>
  <c r="AN10" i="1" s="1"/>
  <c r="D53" i="1"/>
  <c r="E67" i="1"/>
  <c r="E73" i="1"/>
  <c r="E71" i="1"/>
  <c r="E65" i="1"/>
  <c r="Z57" i="1"/>
  <c r="Z63" i="1"/>
  <c r="Z61" i="1"/>
  <c r="Z55" i="1"/>
  <c r="Q39" i="1"/>
  <c r="K37" i="1" s="1"/>
  <c r="K61" i="1"/>
  <c r="K55" i="1"/>
  <c r="K63" i="1"/>
  <c r="K57" i="1"/>
  <c r="K59" i="1"/>
  <c r="K53" i="1"/>
  <c r="Q42" i="1"/>
  <c r="K40" i="1" s="1"/>
  <c r="K75" i="1"/>
  <c r="K67" i="1"/>
  <c r="K71" i="1"/>
  <c r="K69" i="1"/>
  <c r="K65" i="1"/>
  <c r="K73" i="1"/>
  <c r="J42" i="1"/>
  <c r="D40" i="1" s="1"/>
  <c r="D73" i="1"/>
  <c r="D67" i="1"/>
  <c r="D71" i="1"/>
  <c r="D65" i="1"/>
  <c r="L61" i="1"/>
  <c r="L55" i="1"/>
  <c r="L63" i="1"/>
  <c r="L57" i="1"/>
  <c r="L59" i="1"/>
  <c r="L53" i="1"/>
  <c r="L71" i="1"/>
  <c r="L69" i="1"/>
  <c r="L75" i="1"/>
  <c r="L65" i="1"/>
  <c r="L73" i="1"/>
  <c r="L67" i="1"/>
  <c r="J39" i="1"/>
  <c r="D37" i="1" s="1"/>
  <c r="X39" i="1"/>
  <c r="R37" i="1" s="1"/>
  <c r="R61" i="1"/>
  <c r="R63" i="1"/>
  <c r="R57" i="1"/>
  <c r="R55" i="1"/>
  <c r="X42" i="1"/>
  <c r="R40" i="1" s="1"/>
  <c r="R69" i="1"/>
  <c r="R73" i="1"/>
  <c r="R75" i="1"/>
  <c r="R67" i="1"/>
  <c r="Z73" i="1"/>
  <c r="Z75" i="1"/>
  <c r="Z67" i="1"/>
  <c r="Z69" i="1"/>
  <c r="E55" i="1"/>
  <c r="E61" i="1"/>
  <c r="E59" i="1"/>
  <c r="S63" i="1"/>
  <c r="S57" i="1"/>
  <c r="S55" i="1"/>
  <c r="S61" i="1"/>
  <c r="S69" i="1"/>
  <c r="S73" i="1"/>
  <c r="S75" i="1"/>
  <c r="S67" i="1"/>
  <c r="AE39" i="1"/>
  <c r="Y37" i="1" s="1"/>
  <c r="Y63" i="1"/>
  <c r="Y57" i="1"/>
  <c r="Y55" i="1"/>
  <c r="Y61" i="1"/>
  <c r="AE42" i="1"/>
  <c r="Y40" i="1" s="1"/>
  <c r="Y73" i="1"/>
  <c r="Y75" i="1"/>
  <c r="Y67" i="1"/>
  <c r="Y69" i="1"/>
  <c r="BC31" i="1" l="1"/>
  <c r="BB47" i="1"/>
  <c r="BC16" i="1"/>
  <c r="BB38" i="1"/>
  <c r="BA47" i="1"/>
  <c r="AZ28" i="1"/>
  <c r="BA13" i="1"/>
  <c r="BB41" i="1"/>
  <c r="BC41" i="1"/>
  <c r="BA41" i="1"/>
  <c r="AZ31" i="1"/>
  <c r="BB28" i="1"/>
  <c r="BA28" i="1"/>
  <c r="BB25" i="1"/>
  <c r="BA22" i="1"/>
  <c r="BC22" i="1"/>
  <c r="AZ22" i="1"/>
  <c r="AP16" i="1"/>
  <c r="AQ10" i="1"/>
  <c r="AV16" i="1"/>
  <c r="AV7" i="1" s="1"/>
  <c r="AS10" i="1"/>
  <c r="AU16" i="1"/>
  <c r="BC47" i="1"/>
  <c r="AU10" i="1"/>
  <c r="AP10" i="1"/>
  <c r="AZ19" i="1"/>
  <c r="BA31" i="1"/>
  <c r="AZ47" i="1"/>
  <c r="BA50" i="1"/>
  <c r="AW10" i="1"/>
  <c r="BB19" i="1"/>
  <c r="BC44" i="1"/>
  <c r="BA44" i="1"/>
  <c r="AR10" i="1"/>
  <c r="AW16" i="1"/>
  <c r="AR16" i="1"/>
  <c r="BA38" i="1"/>
  <c r="AZ38" i="1"/>
  <c r="BB22" i="1"/>
  <c r="BA19" i="1"/>
  <c r="AZ13" i="1"/>
  <c r="AZ25" i="1"/>
  <c r="BC25" i="1"/>
  <c r="BB13" i="1"/>
  <c r="BC28" i="1"/>
  <c r="BA25" i="1"/>
  <c r="AQ16" i="1"/>
  <c r="AX10" i="1"/>
  <c r="BB31" i="1"/>
  <c r="BC50" i="1"/>
  <c r="BB50" i="1"/>
  <c r="AK10" i="1"/>
  <c r="AK7" i="1" s="1"/>
  <c r="AL10" i="1"/>
  <c r="AL7" i="1" s="1"/>
  <c r="BS12" i="1"/>
  <c r="BP12" i="1"/>
  <c r="BQ12" i="1"/>
  <c r="BR12" i="1"/>
  <c r="AH48" i="1"/>
  <c r="X29" i="1"/>
  <c r="R27" i="1" s="1"/>
  <c r="AP7" i="1" l="1"/>
  <c r="AU7" i="1"/>
  <c r="BA10" i="1"/>
  <c r="AQ7" i="1"/>
  <c r="BB10" i="1"/>
  <c r="BC10" i="1"/>
  <c r="AZ10" i="1"/>
  <c r="AZ16" i="1"/>
  <c r="BB16" i="1"/>
  <c r="BA16" i="1"/>
  <c r="AH51" i="1"/>
  <c r="AH45" i="1"/>
  <c r="AH32" i="1"/>
  <c r="AH29" i="1"/>
  <c r="AH26" i="1"/>
  <c r="AH23" i="1"/>
  <c r="AH20" i="1"/>
  <c r="AG18" i="1" s="1"/>
  <c r="AH17" i="1"/>
  <c r="AH14" i="1"/>
  <c r="AH11" i="1"/>
  <c r="AZ7" i="1" l="1"/>
  <c r="J53" i="1"/>
  <c r="D52" i="1" s="1"/>
  <c r="J29" i="1"/>
  <c r="D27" i="1" s="1"/>
  <c r="AE79" i="1"/>
  <c r="Y78" i="1" s="1"/>
  <c r="Q79" i="1"/>
  <c r="K78" i="1" s="1"/>
  <c r="AE77" i="1"/>
  <c r="Y76" i="1" s="1"/>
  <c r="X77" i="1"/>
  <c r="R76" i="1" s="1"/>
  <c r="Q77" i="1"/>
  <c r="K76" i="1" s="1"/>
  <c r="AE75" i="1"/>
  <c r="Y74" i="1" s="1"/>
  <c r="AE73" i="1"/>
  <c r="Y72" i="1" s="1"/>
  <c r="AE69" i="1"/>
  <c r="Y68" i="1" s="1"/>
  <c r="Q67" i="1"/>
  <c r="K66" i="1" s="1"/>
  <c r="Q65" i="1"/>
  <c r="K64" i="1" s="1"/>
  <c r="Q63" i="1"/>
  <c r="K62" i="1" s="1"/>
  <c r="Q53" i="1"/>
  <c r="K52" i="1" s="1"/>
  <c r="AG46" i="1"/>
  <c r="AH42" i="1"/>
  <c r="AH39" i="1"/>
  <c r="AG9" i="1"/>
  <c r="X75" i="1"/>
  <c r="R74" i="1" s="1"/>
  <c r="D59" i="1"/>
  <c r="AE63" i="1"/>
  <c r="Y62" i="1" s="1"/>
  <c r="X79" i="1"/>
  <c r="R78" i="1" s="1"/>
  <c r="J79" i="1"/>
  <c r="D78" i="1" s="1"/>
  <c r="D77" i="1"/>
  <c r="J59" i="1" l="1"/>
  <c r="D58" i="1" s="1"/>
  <c r="J77" i="1"/>
  <c r="D76" i="1" s="1"/>
  <c r="AE57" i="1"/>
  <c r="Y56" i="1" s="1"/>
  <c r="AE61" i="1"/>
  <c r="Y60" i="1" s="1"/>
  <c r="J65" i="1"/>
  <c r="D64" i="1" s="1"/>
  <c r="D61" i="1"/>
  <c r="AE55" i="1"/>
  <c r="Y54" i="1" s="1"/>
  <c r="D55" i="1"/>
  <c r="Q57" i="1"/>
  <c r="K56" i="1" s="1"/>
  <c r="Q59" i="1"/>
  <c r="K58" i="1" s="1"/>
  <c r="Q61" i="1"/>
  <c r="K60" i="1" s="1"/>
  <c r="X63" i="1"/>
  <c r="R62" i="1" s="1"/>
  <c r="AE67" i="1"/>
  <c r="Y66" i="1" s="1"/>
  <c r="J71" i="1"/>
  <c r="D70" i="1" s="1"/>
  <c r="J73" i="1"/>
  <c r="D72" i="1" s="1"/>
  <c r="Q75" i="1"/>
  <c r="K74" i="1" s="1"/>
  <c r="Q55" i="1"/>
  <c r="K54" i="1" s="1"/>
  <c r="X57" i="1"/>
  <c r="R56" i="1" s="1"/>
  <c r="X61" i="1"/>
  <c r="R60" i="1" s="1"/>
  <c r="J67" i="1"/>
  <c r="D66" i="1" s="1"/>
  <c r="Q69" i="1"/>
  <c r="K68" i="1" s="1"/>
  <c r="Q71" i="1"/>
  <c r="K70" i="1" s="1"/>
  <c r="Q73" i="1"/>
  <c r="K72" i="1" s="1"/>
  <c r="AG37" i="1"/>
  <c r="AG40" i="1"/>
  <c r="X55" i="1"/>
  <c r="R54" i="1" s="1"/>
  <c r="X73" i="1"/>
  <c r="R72" i="1" s="1"/>
  <c r="X69" i="1"/>
  <c r="R68" i="1" s="1"/>
  <c r="X67" i="1"/>
  <c r="R66" i="1" s="1"/>
  <c r="AG24" i="1"/>
  <c r="AG21" i="1"/>
  <c r="AG15" i="1"/>
  <c r="AG12" i="1"/>
  <c r="AG49" i="1"/>
  <c r="AG43" i="1"/>
  <c r="AG30" i="1"/>
  <c r="AG27" i="1"/>
  <c r="J61" i="1" l="1"/>
  <c r="D60" i="1" s="1"/>
  <c r="J55" i="1"/>
  <c r="D54" i="1" s="1"/>
</calcChain>
</file>

<file path=xl/sharedStrings.xml><?xml version="1.0" encoding="utf-8"?>
<sst xmlns="http://schemas.openxmlformats.org/spreadsheetml/2006/main" count="217" uniqueCount="84">
  <si>
    <t>Вид услуг и (или) работ по капитальному ремонту  общего имущества</t>
  </si>
  <si>
    <t>до 0,25 тыс.кв.м.</t>
  </si>
  <si>
    <t xml:space="preserve"> от 0,25 до 1 тыс.кв.м.</t>
  </si>
  <si>
    <t>от 1 до 2 тыс.кв.м.</t>
  </si>
  <si>
    <t xml:space="preserve"> свыше 2 тыс.кв.м.</t>
  </si>
  <si>
    <t>Капитальный ремонт (СМР)</t>
  </si>
  <si>
    <t>Разработка проектной документации</t>
  </si>
  <si>
    <t>Строительный контроль</t>
  </si>
  <si>
    <t>в  том числе</t>
  </si>
  <si>
    <t xml:space="preserve">Ремонт системы электроснабжения    </t>
  </si>
  <si>
    <t>всего, руб./погонный метр трубопровода</t>
  </si>
  <si>
    <t>всего, руб/погонный метр газопровода</t>
  </si>
  <si>
    <t xml:space="preserve">Ремонт системы газоснабжения </t>
  </si>
  <si>
    <t>всего, руб/шт</t>
  </si>
  <si>
    <t>Ремонт фасада</t>
  </si>
  <si>
    <t>Ремонт системы теплоснабжения</t>
  </si>
  <si>
    <t xml:space="preserve">в  том числе </t>
  </si>
  <si>
    <t xml:space="preserve">Предельная стоимость работ, используемая при формировании (актуализации) областной программы "Капитальный ремонт общего имущества многоквартирных домов в Кировской области" </t>
  </si>
  <si>
    <t>всего, руб/кв.м. фасада</t>
  </si>
  <si>
    <t>всего, руб/кв.м. кровли</t>
  </si>
  <si>
    <t>единица измерения</t>
  </si>
  <si>
    <t xml:space="preserve">Ремонт системы горячего водоснабжения </t>
  </si>
  <si>
    <t xml:space="preserve">Ремонт системы холодного водоснабжения </t>
  </si>
  <si>
    <t xml:space="preserve">Ремонт системы  водоотведения </t>
  </si>
  <si>
    <t xml:space="preserve">Плоской </t>
  </si>
  <si>
    <t>Скатной</t>
  </si>
  <si>
    <t>деревянный</t>
  </si>
  <si>
    <t xml:space="preserve">кирпичный </t>
  </si>
  <si>
    <t>панельный</t>
  </si>
  <si>
    <t xml:space="preserve">всего, руб./погонный метр трубопровода </t>
  </si>
  <si>
    <t xml:space="preserve">Ремонт крыши </t>
  </si>
  <si>
    <t xml:space="preserve">Приложение
УТВЕРЖДЕН
распоряжением министерства строительства, энергетики и жилищно-коммунального хозяйства 
Кировской области
от                                     № 
</t>
  </si>
  <si>
    <t xml:space="preserve">Предельная стоимость работ, применяемая при необходимости выполнения работ в объеме, предусмотренном проектной документацией, в случае ее превышения предельной стоимости работ,  используемой при формировании (актуализации) областной программы "Капитальный ремонт общего имущества многоквартирных домов в Кировской области"  
</t>
  </si>
  <si>
    <t xml:space="preserve">комплекс работ по капитальному ремонту наружных конструктивных элементов многоквартирного дома (крыша плоская, фасад деревянный, фундамент, подвал)
</t>
  </si>
  <si>
    <t xml:space="preserve">комплекс работ по капитальному ремонту наружных конструктивных элементов многоквартирного дома (крыша плоская, фасад кирпичный, фундамент, подвал)
</t>
  </si>
  <si>
    <t xml:space="preserve">комплекс работ по капитальному ремонту наружных конструктивных элементов многоквартирного дома (крыша плоская, фасад панельный, фундамент, подвал)
</t>
  </si>
  <si>
    <t xml:space="preserve">комплекс работ по капитальному ремонту наружных конструктивных элементов многоквартирного дома (крыша скатная, фасад деревянный, фундамент, подвал)
</t>
  </si>
  <si>
    <t xml:space="preserve">комплекс работ по капитальному ремонту наружных конструктивных элементов многоквартирного дома (крыша скатная, фасад кирпичный, фундамент, подвал)
</t>
  </si>
  <si>
    <t xml:space="preserve">комплекс работ по капитальному ремонту наружных конструктивных элементов многоквартирного дома (крыша скатная, фасад панельный, фундамент, подвал)
</t>
  </si>
  <si>
    <t xml:space="preserve">комплекс работ по капитальному ремонту наружных конструктивных элементов многоквартирного дома (крыша плоская, фасад деревянный, фундамент)
</t>
  </si>
  <si>
    <t xml:space="preserve">комплекс работ по капитальному ремонту наружных конструктивных элементов многоквартирного дома (крыша плоская, фасад кирпичный, фундамент)
</t>
  </si>
  <si>
    <t xml:space="preserve">комплекс работ по капитальному ремонту наружных конструктивных элементов многоквартирного дома (крыша плоская, фасад панельный, фундамент)
</t>
  </si>
  <si>
    <t xml:space="preserve">комплекс работ по капитальному ремонту наружных конструктивных элементов многоквартирного дома (крыша скатная, фасад деревянный, фундамент)
</t>
  </si>
  <si>
    <t xml:space="preserve">комплекс работ по капитальному ремонту наружных конструктивных элементов многоквартирного дома (крыша скатная, фасад кирпичный, фундамент)
</t>
  </si>
  <si>
    <t xml:space="preserve">комплекс работ по капитальному ремонту наружных конструктивных элементов многоквартирного дома (крыша скатная, фасад панельный, фундамент)
</t>
  </si>
  <si>
    <t xml:space="preserve">комплекс работ по капитальному ремонту внутридомовых инженерных систем холодного водоснабжения, водоотведения и отопления многоквартирного дома
</t>
  </si>
  <si>
    <t xml:space="preserve">комплекс работ по капитальному ремонту внутридомовых инженерных систем холодного и горячего водоснабжения, водоотведения и отопления многоквартирного дома
</t>
  </si>
  <si>
    <t>Ремонт подвальных помещений</t>
  </si>
  <si>
    <t>Ремонт фундамента</t>
  </si>
  <si>
    <t>всего, руб./кв. метр площади МКД*</t>
  </si>
  <si>
    <t>всего, руб/кв. метр подвала</t>
  </si>
  <si>
    <t>всего, руб./кв. метр уборочной площади МКД</t>
  </si>
  <si>
    <t xml:space="preserve">Ремонт системы электроснабжения  </t>
  </si>
  <si>
    <t xml:space="preserve">Ремонт системы водоотведения </t>
  </si>
  <si>
    <t xml:space="preserve">Ремонт крыши плоской </t>
  </si>
  <si>
    <t>Ремонт крыши скатной</t>
  </si>
  <si>
    <t>Ремонт фасада деревянного</t>
  </si>
  <si>
    <t>Ремонт фасада кирпичного</t>
  </si>
  <si>
    <t>Ремонт фасада панельного</t>
  </si>
  <si>
    <t>справка БТИ</t>
  </si>
  <si>
    <t>экспертиза достоверности сметной стоимости</t>
  </si>
  <si>
    <t>обсл-ние по 3-м эл-м (кр., ст., фун.)</t>
  </si>
  <si>
    <t>проекная часть</t>
  </si>
  <si>
    <t>Ремонт, замена, модернизацию лифтов, ремонт лифтовых шахт, машинных и блочных помещений</t>
  </si>
  <si>
    <t>мин</t>
  </si>
  <si>
    <t>макс</t>
  </si>
  <si>
    <t>1 площадь МКД = общая площадь квартир здания + общая площадь обособленных нежилых помещений здания</t>
  </si>
  <si>
    <r>
      <t>площадь МКД</t>
    </r>
    <r>
      <rPr>
        <vertAlign val="superscript"/>
        <sz val="12"/>
        <color rgb="FF000000"/>
        <rFont val="Times New Roman"/>
        <family val="1"/>
        <charset val="204"/>
      </rPr>
      <t>1</t>
    </r>
  </si>
  <si>
    <t>2 при расчете предельной стоимости разработки проектной документации на ремонт (замену, модернизацию) лифтов в МКД с количеством лифтов более одного – на каждый последующий лифт применять к предельной стоимости проектирования  К=0,6.</t>
  </si>
  <si>
    <t>3 при отсутствии подвала в МКД в качестве единицы измерения используется рубль/кв. метр площади застройки МКД</t>
  </si>
  <si>
    <r>
      <t>всего, руб./кв. метр площадь МКД</t>
    </r>
    <r>
      <rPr>
        <vertAlign val="superscript"/>
        <sz val="12"/>
        <color rgb="FF000000"/>
        <rFont val="Times New Roman"/>
        <family val="1"/>
        <charset val="204"/>
      </rPr>
      <t>1</t>
    </r>
  </si>
  <si>
    <r>
      <t>всего, руб/кв. метр подвала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</si>
  <si>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Разработка проектной документации</t>
    </r>
    <r>
      <rPr>
        <vertAlign val="superscript"/>
        <sz val="12"/>
        <color rgb="FF000000"/>
        <rFont val="Times New Roman"/>
        <family val="1"/>
        <charset val="204"/>
      </rPr>
      <t>4</t>
    </r>
  </si>
  <si>
    <t>Примечания</t>
  </si>
  <si>
    <t>среднее</t>
  </si>
  <si>
    <t>макс/мин</t>
  </si>
  <si>
    <t>Индекс прогозной инфляции 2023 года</t>
  </si>
  <si>
    <t>не более  9 остановок</t>
  </si>
  <si>
    <t>добавлять на каждую остановку более 9</t>
  </si>
  <si>
    <t>100000**</t>
  </si>
  <si>
    <r>
      <t>100 000</t>
    </r>
    <r>
      <rPr>
        <vertAlign val="superscript"/>
        <sz val="12"/>
        <rFont val="Times New Roman"/>
        <family val="1"/>
        <charset val="204"/>
      </rPr>
      <t>2</t>
    </r>
  </si>
  <si>
    <t>всего, рублей</t>
  </si>
  <si>
    <t>4 при расчете размера предельной стоимости на разработку проектной документации в стоимость включены затраты на проведение экспертизы проектной документации в случае заключения договора на оказание услуг, выполнение работ по капитальному ремонту предусмотренные пунктом 78(1) постановления Правительства Российской Федерации от 01.07.2016 № 615</t>
  </si>
  <si>
    <t>Размер предельной стоимости каждого из видов услуг и (или) работ по капитальному ремонту общего имущества в многоквартирном доме, который может оплачиваться Фондом за счет средств фонда капитального ремонта, сформированного исходя из минимального размера взноса на капитальный ремонт общего имущества в многоквартирном доме,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</si>
</sst>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top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9" fontId="3" fillId="0" borderId="0" xfId="0" applyNumberFormat="1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0" fontId="8" fillId="0" borderId="6" xfId="0" applyNumberFormat="1" applyFont="1" applyFill="1" applyBorder="1" applyAlignment="1">
      <alignment horizontal="center" vertical="center" wrapText="1"/>
    </xf>
    <xf numFmtId="4" fontId="8" fillId="0" borderId="14" xfId="0" applyNumberFormat="1" applyFont="1" applyFill="1" applyBorder="1" applyAlignment="1">
      <alignment horizontal="center" vertical="center" wrapText="1"/>
    </xf>
    <xf numFmtId="10" fontId="8" fillId="0" borderId="14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3" fontId="8" fillId="0" borderId="14" xfId="0" applyNumberFormat="1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9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165" fontId="3" fillId="0" borderId="0" xfId="0" applyNumberFormat="1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/>
    <xf numFmtId="0" fontId="5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9" fontId="9" fillId="0" borderId="0" xfId="0" applyNumberFormat="1" applyFont="1" applyFill="1" applyAlignment="1">
      <alignment horizontal="center" vertical="center"/>
    </xf>
    <xf numFmtId="166" fontId="9" fillId="0" borderId="0" xfId="0" applyNumberFormat="1" applyFont="1" applyFill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/>
    <xf numFmtId="0" fontId="3" fillId="0" borderId="0" xfId="0" applyFont="1" applyFill="1" applyAlignment="1">
      <alignment vertical="top" wrapText="1" shrinkToFit="1"/>
    </xf>
    <xf numFmtId="0" fontId="0" fillId="0" borderId="0" xfId="0" applyFill="1" applyAlignment="1">
      <alignment vertical="top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84"/>
  <sheetViews>
    <sheetView tabSelected="1" view="pageBreakPreview" topLeftCell="A2" zoomScale="70" zoomScaleNormal="40" zoomScaleSheetLayoutView="70" workbookViewId="0">
      <pane xSplit="2" ySplit="7" topLeftCell="C27" activePane="bottomRight" state="frozen"/>
      <selection activeCell="A4" sqref="A4"/>
      <selection pane="topRight" activeCell="C4" sqref="C4"/>
      <selection pane="bottomLeft" activeCell="A7" sqref="A7"/>
      <selection pane="bottomRight" activeCell="A82" sqref="A82:AH82"/>
    </sheetView>
  </sheetViews>
  <sheetFormatPr defaultRowHeight="15.75" x14ac:dyDescent="0.25"/>
  <cols>
    <col min="1" max="1" width="27.42578125" style="22" customWidth="1"/>
    <col min="2" max="2" width="25.28515625" style="15" customWidth="1"/>
    <col min="3" max="3" width="24.42578125" style="15" customWidth="1"/>
    <col min="4" max="4" width="14" style="23" customWidth="1"/>
    <col min="5" max="5" width="17" style="23" customWidth="1"/>
    <col min="6" max="9" width="12.7109375" style="23" hidden="1" customWidth="1"/>
    <col min="10" max="10" width="15" style="23" customWidth="1"/>
    <col min="11" max="11" width="10.7109375" style="23" customWidth="1"/>
    <col min="12" max="12" width="15.42578125" style="23" customWidth="1"/>
    <col min="13" max="16" width="12.7109375" style="23" hidden="1" customWidth="1"/>
    <col min="17" max="17" width="15" style="23" customWidth="1"/>
    <col min="18" max="18" width="14.140625" style="23" customWidth="1"/>
    <col min="19" max="19" width="16.140625" style="23" customWidth="1"/>
    <col min="20" max="23" width="12.7109375" style="23" hidden="1" customWidth="1"/>
    <col min="24" max="24" width="15.42578125" style="23" customWidth="1"/>
    <col min="25" max="25" width="14" style="23" customWidth="1"/>
    <col min="26" max="26" width="17.5703125" style="23" customWidth="1"/>
    <col min="27" max="30" width="12.7109375" style="23" hidden="1" customWidth="1"/>
    <col min="31" max="31" width="17.5703125" style="23" customWidth="1"/>
    <col min="32" max="32" width="22.85546875" style="15" customWidth="1"/>
    <col min="33" max="33" width="16.42578125" style="2" customWidth="1"/>
    <col min="34" max="34" width="16.28515625" style="58" customWidth="1"/>
    <col min="35" max="35" width="7.85546875" style="2" customWidth="1"/>
    <col min="36" max="36" width="4.7109375" style="22" customWidth="1"/>
    <col min="37" max="40" width="6.7109375" style="24" customWidth="1"/>
    <col min="41" max="41" width="4.5703125" style="24" customWidth="1"/>
    <col min="42" max="45" width="6.7109375" style="24" customWidth="1"/>
    <col min="46" max="46" width="4.5703125" style="24" customWidth="1"/>
    <col min="47" max="50" width="6.7109375" style="24" customWidth="1"/>
    <col min="51" max="51" width="4.5703125" style="25" customWidth="1"/>
    <col min="52" max="55" width="6.7109375" style="25" customWidth="1"/>
    <col min="56" max="56" width="9.140625" style="25"/>
    <col min="57" max="57" width="49.7109375" style="22" customWidth="1"/>
    <col min="58" max="67" width="9.140625" style="22"/>
    <col min="68" max="71" width="10.7109375" style="22" customWidth="1"/>
    <col min="72" max="16384" width="9.140625" style="22"/>
  </cols>
  <sheetData>
    <row r="1" spans="1:71" ht="144" hidden="1" customHeight="1" x14ac:dyDescent="0.25">
      <c r="AF1" s="88" t="s">
        <v>31</v>
      </c>
      <c r="AG1" s="89"/>
      <c r="AH1" s="89"/>
      <c r="AI1" s="15"/>
    </row>
    <row r="2" spans="1:71" ht="46.5" customHeight="1" x14ac:dyDescent="0.25">
      <c r="A2" s="92" t="s">
        <v>83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16"/>
    </row>
    <row r="3" spans="1:71" ht="93.75" customHeight="1" x14ac:dyDescent="0.25">
      <c r="A3" s="86" t="s">
        <v>0</v>
      </c>
      <c r="B3" s="86"/>
      <c r="C3" s="86" t="s">
        <v>17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6" t="s">
        <v>32</v>
      </c>
      <c r="AG3" s="86"/>
      <c r="AH3" s="86"/>
      <c r="AI3" s="10"/>
    </row>
    <row r="4" spans="1:71" ht="22.5" customHeight="1" x14ac:dyDescent="0.25">
      <c r="A4" s="86"/>
      <c r="B4" s="86"/>
      <c r="C4" s="78" t="s">
        <v>20</v>
      </c>
      <c r="D4" s="26">
        <v>4.0000000000000001E-3</v>
      </c>
      <c r="E4" s="27">
        <f>5406.41</f>
        <v>5406.41</v>
      </c>
      <c r="F4" s="27">
        <f>E4</f>
        <v>5406.41</v>
      </c>
      <c r="G4" s="27"/>
      <c r="H4" s="27"/>
      <c r="I4" s="28">
        <f>D4</f>
        <v>4.0000000000000001E-3</v>
      </c>
      <c r="J4" s="29">
        <v>200</v>
      </c>
      <c r="K4" s="28">
        <v>4.0000000000000001E-3</v>
      </c>
      <c r="L4" s="27">
        <f>7990.38</f>
        <v>7990.38</v>
      </c>
      <c r="M4" s="27">
        <f>L4</f>
        <v>7990.38</v>
      </c>
      <c r="N4" s="27"/>
      <c r="O4" s="27"/>
      <c r="P4" s="28">
        <f>K4</f>
        <v>4.0000000000000001E-3</v>
      </c>
      <c r="Q4" s="30">
        <v>600</v>
      </c>
      <c r="R4" s="26">
        <v>4.0000000000000001E-3</v>
      </c>
      <c r="S4" s="27">
        <f>11435.69</f>
        <v>11435.69</v>
      </c>
      <c r="T4" s="27">
        <f>S4</f>
        <v>11435.69</v>
      </c>
      <c r="U4" s="27"/>
      <c r="V4" s="27"/>
      <c r="W4" s="28">
        <f>R4</f>
        <v>4.0000000000000001E-3</v>
      </c>
      <c r="X4" s="31">
        <v>1400</v>
      </c>
      <c r="Y4" s="26">
        <v>4.0000000000000001E-3</v>
      </c>
      <c r="Z4" s="27">
        <f>21771.59</f>
        <v>21771.59</v>
      </c>
      <c r="AA4" s="27">
        <f>Z4</f>
        <v>21771.59</v>
      </c>
      <c r="AB4" s="27"/>
      <c r="AC4" s="27"/>
      <c r="AD4" s="28">
        <f>Y4</f>
        <v>4.0000000000000001E-3</v>
      </c>
      <c r="AE4" s="32">
        <v>4000</v>
      </c>
      <c r="AF4" s="93"/>
      <c r="AG4" s="86"/>
      <c r="AH4" s="86"/>
      <c r="AI4" s="10"/>
    </row>
    <row r="5" spans="1:71" ht="33" customHeight="1" x14ac:dyDescent="0.25">
      <c r="A5" s="86"/>
      <c r="B5" s="86"/>
      <c r="C5" s="94"/>
      <c r="D5" s="82" t="s">
        <v>67</v>
      </c>
      <c r="E5" s="85"/>
      <c r="F5" s="85"/>
      <c r="G5" s="85"/>
      <c r="H5" s="85"/>
      <c r="I5" s="85"/>
      <c r="J5" s="84"/>
      <c r="K5" s="82" t="s">
        <v>67</v>
      </c>
      <c r="L5" s="85"/>
      <c r="M5" s="85"/>
      <c r="N5" s="85"/>
      <c r="O5" s="85"/>
      <c r="P5" s="85"/>
      <c r="Q5" s="84"/>
      <c r="R5" s="82" t="s">
        <v>67</v>
      </c>
      <c r="S5" s="85"/>
      <c r="T5" s="85"/>
      <c r="U5" s="85"/>
      <c r="V5" s="85"/>
      <c r="W5" s="85"/>
      <c r="X5" s="84"/>
      <c r="Y5" s="82" t="s">
        <v>67</v>
      </c>
      <c r="Z5" s="85"/>
      <c r="AA5" s="85"/>
      <c r="AB5" s="85"/>
      <c r="AC5" s="85"/>
      <c r="AD5" s="85"/>
      <c r="AE5" s="84"/>
      <c r="AF5" s="93"/>
      <c r="AG5" s="86"/>
      <c r="AH5" s="86"/>
      <c r="AI5" s="10"/>
    </row>
    <row r="6" spans="1:71" ht="15.75" customHeight="1" x14ac:dyDescent="0.25">
      <c r="A6" s="86"/>
      <c r="B6" s="86"/>
      <c r="C6" s="95"/>
      <c r="D6" s="82" t="s">
        <v>1</v>
      </c>
      <c r="E6" s="85"/>
      <c r="F6" s="85"/>
      <c r="G6" s="85"/>
      <c r="H6" s="85"/>
      <c r="I6" s="85"/>
      <c r="J6" s="84"/>
      <c r="K6" s="81" t="s">
        <v>2</v>
      </c>
      <c r="L6" s="81"/>
      <c r="M6" s="81"/>
      <c r="N6" s="81"/>
      <c r="O6" s="81"/>
      <c r="P6" s="81"/>
      <c r="Q6" s="81"/>
      <c r="R6" s="81" t="s">
        <v>3</v>
      </c>
      <c r="S6" s="81"/>
      <c r="T6" s="81"/>
      <c r="U6" s="81"/>
      <c r="V6" s="81"/>
      <c r="W6" s="81"/>
      <c r="X6" s="81"/>
      <c r="Y6" s="81" t="s">
        <v>4</v>
      </c>
      <c r="Z6" s="81"/>
      <c r="AA6" s="81"/>
      <c r="AB6" s="81"/>
      <c r="AC6" s="81"/>
      <c r="AD6" s="81"/>
      <c r="AE6" s="81"/>
      <c r="AF6" s="86"/>
      <c r="AG6" s="86"/>
      <c r="AH6" s="86"/>
      <c r="AI6" s="10"/>
    </row>
    <row r="7" spans="1:71" ht="15.75" customHeight="1" x14ac:dyDescent="0.25">
      <c r="A7" s="86"/>
      <c r="B7" s="86"/>
      <c r="C7" s="95"/>
      <c r="D7" s="78" t="s">
        <v>5</v>
      </c>
      <c r="E7" s="83" t="s">
        <v>72</v>
      </c>
      <c r="F7" s="78" t="s">
        <v>6</v>
      </c>
      <c r="G7" s="79"/>
      <c r="H7" s="79"/>
      <c r="I7" s="79"/>
      <c r="J7" s="80" t="s">
        <v>7</v>
      </c>
      <c r="K7" s="78" t="s">
        <v>5</v>
      </c>
      <c r="L7" s="83" t="s">
        <v>72</v>
      </c>
      <c r="M7" s="78" t="s">
        <v>6</v>
      </c>
      <c r="N7" s="79"/>
      <c r="O7" s="79"/>
      <c r="P7" s="79"/>
      <c r="Q7" s="80" t="s">
        <v>7</v>
      </c>
      <c r="R7" s="78" t="s">
        <v>5</v>
      </c>
      <c r="S7" s="83" t="s">
        <v>72</v>
      </c>
      <c r="T7" s="78" t="s">
        <v>6</v>
      </c>
      <c r="U7" s="79"/>
      <c r="V7" s="79"/>
      <c r="W7" s="79"/>
      <c r="X7" s="80" t="s">
        <v>7</v>
      </c>
      <c r="Y7" s="78" t="s">
        <v>5</v>
      </c>
      <c r="Z7" s="83" t="s">
        <v>72</v>
      </c>
      <c r="AA7" s="78" t="s">
        <v>6</v>
      </c>
      <c r="AB7" s="79"/>
      <c r="AC7" s="79"/>
      <c r="AD7" s="79"/>
      <c r="AE7" s="80" t="s">
        <v>7</v>
      </c>
      <c r="AF7" s="19"/>
      <c r="AG7" s="19"/>
      <c r="AH7" s="19"/>
      <c r="AI7" s="10"/>
      <c r="AK7" s="24">
        <f>AVERAGE(AK9:AK50)</f>
        <v>7.9915872690408854E-2</v>
      </c>
      <c r="AL7" s="24">
        <f>AVERAGE(AL9:AL50)</f>
        <v>0.26716202112575788</v>
      </c>
      <c r="AP7" s="24">
        <f>MIN(AP9:AP50)</f>
        <v>5.0133991152197785E-2</v>
      </c>
      <c r="AQ7" s="24">
        <f>MIN(AQ9:AQ50)</f>
        <v>0.15121177811221481</v>
      </c>
      <c r="AU7" s="24">
        <f>MAX(AU9:AU50)</f>
        <v>0.13184891291452225</v>
      </c>
      <c r="AV7" s="24">
        <f>MAX(AV9:AV50)</f>
        <v>0.40773183509824135</v>
      </c>
      <c r="AZ7" s="25">
        <f>AVERAGE(AZ9:AZ50)</f>
        <v>1.3725307560072224</v>
      </c>
    </row>
    <row r="8" spans="1:71" ht="72" customHeight="1" x14ac:dyDescent="0.25">
      <c r="A8" s="86"/>
      <c r="B8" s="86"/>
      <c r="C8" s="81"/>
      <c r="D8" s="82"/>
      <c r="E8" s="84"/>
      <c r="F8" s="19" t="s">
        <v>59</v>
      </c>
      <c r="G8" s="19" t="s">
        <v>61</v>
      </c>
      <c r="H8" s="19" t="s">
        <v>62</v>
      </c>
      <c r="I8" s="19" t="s">
        <v>60</v>
      </c>
      <c r="J8" s="81"/>
      <c r="K8" s="82"/>
      <c r="L8" s="84"/>
      <c r="M8" s="19" t="s">
        <v>59</v>
      </c>
      <c r="N8" s="19" t="s">
        <v>61</v>
      </c>
      <c r="O8" s="19" t="s">
        <v>62</v>
      </c>
      <c r="P8" s="19" t="s">
        <v>60</v>
      </c>
      <c r="Q8" s="81"/>
      <c r="R8" s="82"/>
      <c r="S8" s="84"/>
      <c r="T8" s="19" t="s">
        <v>59</v>
      </c>
      <c r="U8" s="19" t="s">
        <v>61</v>
      </c>
      <c r="V8" s="19" t="s">
        <v>62</v>
      </c>
      <c r="W8" s="19" t="s">
        <v>60</v>
      </c>
      <c r="X8" s="81"/>
      <c r="Y8" s="82"/>
      <c r="Z8" s="84"/>
      <c r="AA8" s="19" t="s">
        <v>59</v>
      </c>
      <c r="AB8" s="19" t="s">
        <v>61</v>
      </c>
      <c r="AC8" s="19" t="s">
        <v>62</v>
      </c>
      <c r="AD8" s="19" t="s">
        <v>60</v>
      </c>
      <c r="AE8" s="81"/>
      <c r="AF8" s="19" t="s">
        <v>20</v>
      </c>
      <c r="AG8" s="3" t="s">
        <v>5</v>
      </c>
      <c r="AH8" s="4" t="s">
        <v>7</v>
      </c>
      <c r="AI8" s="11"/>
      <c r="AK8" s="24" t="s">
        <v>74</v>
      </c>
      <c r="AP8" s="24" t="s">
        <v>64</v>
      </c>
      <c r="AU8" s="24" t="s">
        <v>65</v>
      </c>
      <c r="AZ8" s="25" t="s">
        <v>75</v>
      </c>
      <c r="BJ8" s="33"/>
      <c r="BK8" s="33"/>
      <c r="BL8" s="33"/>
      <c r="BM8" s="33"/>
    </row>
    <row r="9" spans="1:71" ht="60.75" customHeight="1" x14ac:dyDescent="0.25">
      <c r="A9" s="86" t="s">
        <v>9</v>
      </c>
      <c r="B9" s="86"/>
      <c r="C9" s="19" t="s">
        <v>70</v>
      </c>
      <c r="D9" s="62">
        <f>SUM(D11,E11,J11)</f>
        <v>1078.42230015</v>
      </c>
      <c r="E9" s="62"/>
      <c r="F9" s="62"/>
      <c r="G9" s="62"/>
      <c r="H9" s="62"/>
      <c r="I9" s="62"/>
      <c r="J9" s="62"/>
      <c r="K9" s="62">
        <f>SUM(K11,L11,Q11)</f>
        <v>589.69683989999999</v>
      </c>
      <c r="L9" s="62"/>
      <c r="M9" s="62"/>
      <c r="N9" s="62"/>
      <c r="O9" s="62"/>
      <c r="P9" s="62"/>
      <c r="Q9" s="62"/>
      <c r="R9" s="62">
        <f>SUM(R11,S11,X11)</f>
        <v>407.63980104999996</v>
      </c>
      <c r="S9" s="62"/>
      <c r="T9" s="62"/>
      <c r="U9" s="62"/>
      <c r="V9" s="62"/>
      <c r="W9" s="62"/>
      <c r="X9" s="62"/>
      <c r="Y9" s="62">
        <f>SUM(Y11,Z11,AE11)</f>
        <v>386.97201409249999</v>
      </c>
      <c r="Z9" s="62"/>
      <c r="AA9" s="62"/>
      <c r="AB9" s="62"/>
      <c r="AC9" s="62"/>
      <c r="AD9" s="62"/>
      <c r="AE9" s="62"/>
      <c r="AF9" s="19" t="s">
        <v>51</v>
      </c>
      <c r="AG9" s="62">
        <f>AG11+AH11</f>
        <v>6606.7032995999998</v>
      </c>
      <c r="AH9" s="62"/>
      <c r="AI9" s="12"/>
      <c r="AK9" s="34" t="s">
        <v>59</v>
      </c>
      <c r="AL9" s="34" t="s">
        <v>61</v>
      </c>
      <c r="AM9" s="34" t="s">
        <v>62</v>
      </c>
      <c r="AN9" s="34" t="s">
        <v>60</v>
      </c>
      <c r="AP9" s="34" t="s">
        <v>59</v>
      </c>
      <c r="AQ9" s="34" t="s">
        <v>61</v>
      </c>
      <c r="AR9" s="34" t="s">
        <v>62</v>
      </c>
      <c r="AS9" s="34" t="s">
        <v>60</v>
      </c>
      <c r="AU9" s="34" t="s">
        <v>59</v>
      </c>
      <c r="AV9" s="34" t="s">
        <v>61</v>
      </c>
      <c r="AW9" s="34" t="s">
        <v>62</v>
      </c>
      <c r="AX9" s="34" t="s">
        <v>60</v>
      </c>
      <c r="AZ9" s="34" t="s">
        <v>59</v>
      </c>
      <c r="BA9" s="34" t="s">
        <v>61</v>
      </c>
      <c r="BB9" s="34" t="s">
        <v>62</v>
      </c>
      <c r="BC9" s="34" t="s">
        <v>60</v>
      </c>
      <c r="BE9" s="35" t="s">
        <v>52</v>
      </c>
      <c r="BF9" s="1">
        <v>168</v>
      </c>
      <c r="BG9" s="1">
        <v>85</v>
      </c>
      <c r="BH9" s="1">
        <v>45</v>
      </c>
      <c r="BI9" s="1">
        <v>33</v>
      </c>
      <c r="BJ9" s="33">
        <v>125</v>
      </c>
      <c r="BK9" s="33">
        <v>56</v>
      </c>
      <c r="BL9" s="33">
        <v>22</v>
      </c>
      <c r="BM9" s="33">
        <v>12</v>
      </c>
      <c r="BP9" s="19" t="s">
        <v>59</v>
      </c>
      <c r="BQ9" s="19" t="s">
        <v>61</v>
      </c>
      <c r="BR9" s="19" t="s">
        <v>62</v>
      </c>
      <c r="BS9" s="19" t="s">
        <v>60</v>
      </c>
    </row>
    <row r="10" spans="1:71" ht="15.75" hidden="1" customHeight="1" x14ac:dyDescent="0.25">
      <c r="A10" s="86"/>
      <c r="B10" s="86"/>
      <c r="C10" s="19"/>
      <c r="D10" s="36"/>
      <c r="E10" s="36"/>
      <c r="F10" s="37">
        <f>F11*$BE$32/E11</f>
        <v>8.3707130250710624E-2</v>
      </c>
      <c r="G10" s="37">
        <f>G11*$BE$32/E11</f>
        <v>0.3870735397921663</v>
      </c>
      <c r="H10" s="37">
        <f>H11*$BE$32/E11</f>
        <v>0.52022683748067144</v>
      </c>
      <c r="I10" s="37">
        <f>I11*$BE$32/E11</f>
        <v>8.9924924764516068E-3</v>
      </c>
      <c r="J10" s="36"/>
      <c r="K10" s="36"/>
      <c r="L10" s="36"/>
      <c r="M10" s="37">
        <f>M11*$BE$32/L11</f>
        <v>8.5373163415695813E-2</v>
      </c>
      <c r="N10" s="37">
        <f>N11*$BE$32/L11</f>
        <v>0.35899898262252605</v>
      </c>
      <c r="O10" s="37">
        <f>O11*$BE$32/L11</f>
        <v>0.54490917005204842</v>
      </c>
      <c r="P10" s="37">
        <f>P11*$BE$32/L11</f>
        <v>1.0718683909729706E-2</v>
      </c>
      <c r="Q10" s="36"/>
      <c r="R10" s="36"/>
      <c r="S10" s="36"/>
      <c r="T10" s="37">
        <f>T11*$BE$32/S11</f>
        <v>0.10684236651979957</v>
      </c>
      <c r="U10" s="37">
        <f>U11*$BE$32/S11</f>
        <v>0.28776093867618191</v>
      </c>
      <c r="V10" s="37">
        <f>V11*$BE$32/S11</f>
        <v>0.58860192001946299</v>
      </c>
      <c r="W10" s="37">
        <f>W11*$BE$32/S11</f>
        <v>1.6794774784555343E-2</v>
      </c>
      <c r="X10" s="36"/>
      <c r="Y10" s="36"/>
      <c r="Z10" s="36"/>
      <c r="AA10" s="37">
        <f>AA11*$BE$32/Z11</f>
        <v>0.10518306918786773</v>
      </c>
      <c r="AB10" s="37">
        <f>AB11*$BE$32/Z11</f>
        <v>0.23189796064585319</v>
      </c>
      <c r="AC10" s="37">
        <f>AC11*$BE$32/Z11</f>
        <v>0.63771939177609627</v>
      </c>
      <c r="AD10" s="37">
        <f>AD11*$BE$32/Z11</f>
        <v>2.5199578390182716E-2</v>
      </c>
      <c r="AE10" s="36"/>
      <c r="AF10" s="19"/>
      <c r="AG10" s="36"/>
      <c r="AH10" s="36"/>
      <c r="AI10" s="12"/>
      <c r="AK10" s="24">
        <f>AVERAGE(F10,M10,T10,AA10)</f>
        <v>9.527643234351843E-2</v>
      </c>
      <c r="AL10" s="24">
        <f>AVERAGE(G10,N10,U10,AB10)</f>
        <v>0.31643285543418187</v>
      </c>
      <c r="AM10" s="24">
        <f>AVERAGE(H10,O10,V10,AC10)</f>
        <v>0.57286432983206981</v>
      </c>
      <c r="AN10" s="24">
        <f>AVERAGE(I10,P10,W10,AD10)</f>
        <v>1.5426382390229844E-2</v>
      </c>
      <c r="AP10" s="24">
        <f>MIN(F10,M10,T10,AA10)</f>
        <v>8.3707130250710624E-2</v>
      </c>
      <c r="AQ10" s="24">
        <f>MIN(G10,N10,U10,AB10)</f>
        <v>0.23189796064585319</v>
      </c>
      <c r="AR10" s="24">
        <f>MIN(H10,O10,V10,AC10)</f>
        <v>0.52022683748067144</v>
      </c>
      <c r="AS10" s="24">
        <f>MIN(I10,P10,W10,AD10)</f>
        <v>8.9924924764516068E-3</v>
      </c>
      <c r="AU10" s="24">
        <f>MAX(F10,M10,T10,AA10)</f>
        <v>0.10684236651979957</v>
      </c>
      <c r="AV10" s="24">
        <f>MAX(G10,N10,U10,AB10)</f>
        <v>0.3870735397921663</v>
      </c>
      <c r="AW10" s="24">
        <f>MAX(H10,O10,V10,AC10)</f>
        <v>0.63771939177609627</v>
      </c>
      <c r="AX10" s="24">
        <f>MAX(I10,P10,W10,AD10)</f>
        <v>2.5199578390182716E-2</v>
      </c>
      <c r="AZ10" s="25">
        <f>AU10/AP10</f>
        <v>1.2763831014131863</v>
      </c>
      <c r="BA10" s="25">
        <f t="shared" ref="BA10:BC10" si="0">AV10/AQ10</f>
        <v>1.6691545657156168</v>
      </c>
      <c r="BB10" s="25">
        <f t="shared" si="0"/>
        <v>1.225848698741518</v>
      </c>
      <c r="BC10" s="25">
        <f t="shared" si="0"/>
        <v>2.8022907393219576</v>
      </c>
      <c r="BE10" s="35"/>
      <c r="BF10" s="1"/>
      <c r="BG10" s="1"/>
      <c r="BH10" s="1"/>
      <c r="BI10" s="1"/>
      <c r="BJ10" s="33"/>
      <c r="BK10" s="33"/>
      <c r="BL10" s="33"/>
      <c r="BM10" s="33"/>
      <c r="BO10" s="38" t="s">
        <v>64</v>
      </c>
      <c r="BP10" s="39">
        <f>MIN(F10,F13,F16,F19,F22,F25,F28,F31,F38,F41,F44,F47)</f>
        <v>5.0133991152197785E-2</v>
      </c>
      <c r="BQ10" s="39">
        <f>MIN(G10,G13,G16,G19,G22,G25,G28,G31,G38,G41,G44,G47)</f>
        <v>0.23182662410082566</v>
      </c>
      <c r="BR10" s="39">
        <f>MIN(H10,H13,H16,H19,H22,H25,H28,H31,H38,H41,H44,H47)</f>
        <v>0.49580191147946151</v>
      </c>
      <c r="BS10" s="39">
        <f>MIN(I10,I13,I16,I19,I22,I25,I28,I31,I38,I41,I44,I47)</f>
        <v>8.2112825671273159E-3</v>
      </c>
    </row>
    <row r="11" spans="1:71" ht="15.75" customHeight="1" x14ac:dyDescent="0.25">
      <c r="A11" s="86"/>
      <c r="B11" s="86"/>
      <c r="C11" s="19" t="s">
        <v>8</v>
      </c>
      <c r="D11" s="36">
        <f>726</f>
        <v>726</v>
      </c>
      <c r="E11" s="36">
        <f>SUM(F11:I11)*$BE$32</f>
        <v>336.82230014999999</v>
      </c>
      <c r="F11" s="36">
        <f>F$4/J$4</f>
        <v>27.032049999999998</v>
      </c>
      <c r="G11" s="36">
        <f>$BJ$9</f>
        <v>125</v>
      </c>
      <c r="H11" s="36">
        <f>BF9</f>
        <v>168</v>
      </c>
      <c r="I11" s="36">
        <f>D11*I$4</f>
        <v>2.9039999999999999</v>
      </c>
      <c r="J11" s="36">
        <f>ROUNDUP(D11*2.14%,1)</f>
        <v>15.6</v>
      </c>
      <c r="K11" s="36">
        <f>418</f>
        <v>418</v>
      </c>
      <c r="L11" s="36">
        <f>SUM(M11:P11)*$BE$32</f>
        <v>162.69683989999999</v>
      </c>
      <c r="M11" s="36">
        <f>M$4/Q$4</f>
        <v>13.317299999999999</v>
      </c>
      <c r="N11" s="36">
        <f>$BK$9</f>
        <v>56</v>
      </c>
      <c r="O11" s="36">
        <f>BG9</f>
        <v>85</v>
      </c>
      <c r="P11" s="36">
        <f>K11*P$4</f>
        <v>1.6719999999999999</v>
      </c>
      <c r="Q11" s="36">
        <f>ROUNDUP(K11*2.14%,1)</f>
        <v>9</v>
      </c>
      <c r="R11" s="36">
        <f>321</f>
        <v>321</v>
      </c>
      <c r="S11" s="36">
        <f>SUM(T11:W11)*$BE$32</f>
        <v>79.739801050000011</v>
      </c>
      <c r="T11" s="36">
        <f>T$4/X$4</f>
        <v>8.1683500000000002</v>
      </c>
      <c r="U11" s="36">
        <f>$BL$9</f>
        <v>22</v>
      </c>
      <c r="V11" s="36">
        <f>BH9</f>
        <v>45</v>
      </c>
      <c r="W11" s="36">
        <f>R11*W$4</f>
        <v>1.284</v>
      </c>
      <c r="X11" s="36">
        <f>ROUNDUP(R11*2.14%,1)</f>
        <v>6.8999999999999995</v>
      </c>
      <c r="Y11" s="36">
        <f>326</f>
        <v>326</v>
      </c>
      <c r="Z11" s="36">
        <f>SUM(AA11:AD11)*$BE$32</f>
        <v>53.972014092499997</v>
      </c>
      <c r="AA11" s="36">
        <f>AA$4/AE$4</f>
        <v>5.4428974999999999</v>
      </c>
      <c r="AB11" s="36">
        <f>$BM$9</f>
        <v>12</v>
      </c>
      <c r="AC11" s="36">
        <f>BI9</f>
        <v>33</v>
      </c>
      <c r="AD11" s="36">
        <f>Y11*AD$4</f>
        <v>1.304</v>
      </c>
      <c r="AE11" s="36">
        <f>ROUNDUP(Y11*2.14%,1)</f>
        <v>7</v>
      </c>
      <c r="AF11" s="19" t="s">
        <v>8</v>
      </c>
      <c r="AG11" s="36">
        <f>5546*1.1182*BE$32</f>
        <v>6468.2032995999998</v>
      </c>
      <c r="AH11" s="40">
        <f>ROUNDUP(AG11*2.14%,1)</f>
        <v>138.5</v>
      </c>
      <c r="AI11" s="13"/>
      <c r="BE11" s="35" t="s">
        <v>15</v>
      </c>
      <c r="BF11" s="1">
        <v>327</v>
      </c>
      <c r="BG11" s="1">
        <v>145</v>
      </c>
      <c r="BH11" s="1">
        <v>76</v>
      </c>
      <c r="BI11" s="1">
        <v>55</v>
      </c>
      <c r="BJ11" s="33"/>
      <c r="BK11" s="33"/>
      <c r="BL11" s="33"/>
      <c r="BM11" s="33"/>
      <c r="BO11" s="38" t="s">
        <v>65</v>
      </c>
      <c r="BP11" s="39">
        <f>MAX(F10,F13,F16,F19,F22,F25,F28,F31,F38,F41,F44,F47)</f>
        <v>8.8174618823739309E-2</v>
      </c>
      <c r="BQ11" s="39">
        <f>MAX(G10,G13,G16,G19,G22,G25,G28,G31,G38,G41,G44,G47)</f>
        <v>0.40773183509824135</v>
      </c>
      <c r="BR11" s="39">
        <f>MAX(H10,H13,H16,H19,H22,H25,H28,H31,H38,H41,H44,H47)</f>
        <v>0.69547987230247699</v>
      </c>
      <c r="BS11" s="39">
        <f>MAX(I10,I13,I16,I19,I22,I25,I28,I31,I38,I41,I44,I47)</f>
        <v>3.5930055004569555E-2</v>
      </c>
    </row>
    <row r="12" spans="1:71" ht="54.75" customHeight="1" x14ac:dyDescent="0.25">
      <c r="A12" s="86" t="s">
        <v>15</v>
      </c>
      <c r="B12" s="86"/>
      <c r="C12" s="19" t="s">
        <v>70</v>
      </c>
      <c r="D12" s="62">
        <f>SUM(D14,E14,J14)</f>
        <v>2240.11031215</v>
      </c>
      <c r="E12" s="62"/>
      <c r="F12" s="62"/>
      <c r="G12" s="62"/>
      <c r="H12" s="62"/>
      <c r="I12" s="62"/>
      <c r="J12" s="62"/>
      <c r="K12" s="62">
        <f>SUM(K14,L14,Q14)</f>
        <v>1964.0128279</v>
      </c>
      <c r="L12" s="62"/>
      <c r="M12" s="62"/>
      <c r="N12" s="62"/>
      <c r="O12" s="62"/>
      <c r="P12" s="62"/>
      <c r="Q12" s="62"/>
      <c r="R12" s="62">
        <f>SUM(R14,S14,X14)</f>
        <v>1851.2134730500002</v>
      </c>
      <c r="S12" s="62"/>
      <c r="T12" s="62"/>
      <c r="U12" s="62"/>
      <c r="V12" s="62"/>
      <c r="W12" s="62"/>
      <c r="X12" s="62"/>
      <c r="Y12" s="62">
        <f>SUM(Y14,Z14,AE14)</f>
        <v>1848.8713300924999</v>
      </c>
      <c r="Z12" s="62"/>
      <c r="AA12" s="62"/>
      <c r="AB12" s="62"/>
      <c r="AC12" s="62"/>
      <c r="AD12" s="62"/>
      <c r="AE12" s="62"/>
      <c r="AF12" s="19" t="s">
        <v>10</v>
      </c>
      <c r="AG12" s="62">
        <f>AG14+AH14</f>
        <v>4082.4504701999999</v>
      </c>
      <c r="AH12" s="62"/>
      <c r="AI12" s="12"/>
      <c r="BE12" s="35" t="s">
        <v>12</v>
      </c>
      <c r="BF12" s="1">
        <v>196</v>
      </c>
      <c r="BG12" s="1">
        <v>92</v>
      </c>
      <c r="BH12" s="1">
        <v>51</v>
      </c>
      <c r="BI12" s="1">
        <v>41</v>
      </c>
      <c r="BJ12" s="33"/>
      <c r="BK12" s="33"/>
      <c r="BL12" s="33"/>
      <c r="BM12" s="33"/>
      <c r="BP12" s="41">
        <f>BP11/BP10</f>
        <v>1.7587791595537849</v>
      </c>
      <c r="BQ12" s="41">
        <f>BQ11/BQ10</f>
        <v>1.7587791595537847</v>
      </c>
      <c r="BR12" s="41">
        <f>BR11/BR10</f>
        <v>1.402737375955613</v>
      </c>
      <c r="BS12" s="41">
        <f>BS11/BS10</f>
        <v>4.3756934085316148</v>
      </c>
    </row>
    <row r="13" spans="1:71" ht="15.75" hidden="1" customHeight="1" x14ac:dyDescent="0.25">
      <c r="A13" s="86"/>
      <c r="B13" s="86"/>
      <c r="C13" s="19"/>
      <c r="D13" s="36"/>
      <c r="E13" s="36"/>
      <c r="F13" s="37">
        <f>F14*$BE$32/E14</f>
        <v>5.5642104519976067E-2</v>
      </c>
      <c r="G13" s="37">
        <f>G14*$BE$32/E14</f>
        <v>0.25729691477327871</v>
      </c>
      <c r="H13" s="37">
        <f>H14*$BE$32/E14</f>
        <v>0.67308872904689709</v>
      </c>
      <c r="I13" s="37">
        <f>I14*$BE$32/E14</f>
        <v>1.3972251659848127E-2</v>
      </c>
      <c r="J13" s="36"/>
      <c r="K13" s="36"/>
      <c r="L13" s="36"/>
      <c r="M13" s="37">
        <f>M14*$BE$32/L14</f>
        <v>6.0230577919208626E-2</v>
      </c>
      <c r="N13" s="37">
        <f>N14*$BE$32/L14</f>
        <v>0.25327298802878084</v>
      </c>
      <c r="O13" s="37">
        <f>O14*$BE$32/L14</f>
        <v>0.65579612971737899</v>
      </c>
      <c r="P13" s="37">
        <f>P14*$BE$32/L14</f>
        <v>3.0700304334631511E-2</v>
      </c>
      <c r="Q13" s="36"/>
      <c r="R13" s="36"/>
      <c r="S13" s="36"/>
      <c r="T13" s="37">
        <f>T14*$BE$32/S14</f>
        <v>7.2314216951946481E-2</v>
      </c>
      <c r="U13" s="37">
        <f>U14*$BE$32/S14</f>
        <v>0.19476550012460564</v>
      </c>
      <c r="V13" s="37">
        <f>V14*$BE$32/S14</f>
        <v>0.67282627315772869</v>
      </c>
      <c r="W13" s="37">
        <f>W14*$BE$32/S14</f>
        <v>6.0094009765719235E-2</v>
      </c>
      <c r="X13" s="36"/>
      <c r="Y13" s="36"/>
      <c r="Z13" s="36"/>
      <c r="AA13" s="37">
        <f>AA14*$BE$32/Z14</f>
        <v>6.8585850754794064E-2</v>
      </c>
      <c r="AB13" s="37">
        <f>AB14*$BE$32/Z14</f>
        <v>0.15121177811221481</v>
      </c>
      <c r="AC13" s="37">
        <f>AC14*$BE$32/Z14</f>
        <v>0.69305398301431798</v>
      </c>
      <c r="AD13" s="37">
        <f>AD14*$BE$32/Z14</f>
        <v>8.7148388118673148E-2</v>
      </c>
      <c r="AE13" s="36"/>
      <c r="AF13" s="19"/>
      <c r="AG13" s="36"/>
      <c r="AH13" s="36"/>
      <c r="AI13" s="12"/>
      <c r="AK13" s="24">
        <f>AVERAGE(F13,M13,T13,AA13)</f>
        <v>6.4193187536481316E-2</v>
      </c>
      <c r="AL13" s="24">
        <f t="shared" ref="AL13" si="1">AVERAGE(G13,N13,U13,AB13)</f>
        <v>0.21413679525972001</v>
      </c>
      <c r="AM13" s="24">
        <f t="shared" ref="AM13" si="2">AVERAGE(H13,O13,V13,AC13)</f>
        <v>0.67369127873408063</v>
      </c>
      <c r="AN13" s="24">
        <f t="shared" ref="AN13" si="3">AVERAGE(I13,P13,W13,AD13)</f>
        <v>4.7978738469718007E-2</v>
      </c>
      <c r="AP13" s="24">
        <f>MIN(F13,M13,T13,AA13)</f>
        <v>5.5642104519976067E-2</v>
      </c>
      <c r="AQ13" s="24">
        <f>MIN(G13,N13,U13,AB13)</f>
        <v>0.15121177811221481</v>
      </c>
      <c r="AR13" s="24">
        <f>MIN(H13,O13,V13,AC13)</f>
        <v>0.65579612971737899</v>
      </c>
      <c r="AS13" s="24">
        <f>MIN(I13,P13,W13,AD13)</f>
        <v>1.3972251659848127E-2</v>
      </c>
      <c r="AU13" s="24">
        <f>MAX(F13,M13,T13,AA13)</f>
        <v>7.2314216951946481E-2</v>
      </c>
      <c r="AV13" s="24">
        <f>MAX(G13,N13,U13,AB13)</f>
        <v>0.25729691477327871</v>
      </c>
      <c r="AW13" s="24">
        <f>MAX(H13,O13,V13,AC13)</f>
        <v>0.69305398301431798</v>
      </c>
      <c r="AX13" s="24">
        <f>MAX(I13,P13,W13,AD13)</f>
        <v>8.7148388118673148E-2</v>
      </c>
      <c r="AZ13" s="25">
        <f>AU13/AP13</f>
        <v>1.2996312338614899</v>
      </c>
      <c r="BA13" s="25">
        <f t="shared" ref="BA13" si="4">AV13/AQ13</f>
        <v>1.7015666238799052</v>
      </c>
      <c r="BB13" s="25">
        <f t="shared" ref="BB13" si="5">AW13/AR13</f>
        <v>1.0568131643487979</v>
      </c>
      <c r="BC13" s="25">
        <f t="shared" ref="BC13" si="6">AX13/AS13</f>
        <v>6.2372472411952256</v>
      </c>
      <c r="BE13" s="35"/>
      <c r="BF13" s="1"/>
      <c r="BG13" s="1"/>
      <c r="BH13" s="1"/>
      <c r="BI13" s="1"/>
      <c r="BJ13" s="33"/>
      <c r="BK13" s="33"/>
      <c r="BL13" s="33"/>
      <c r="BM13" s="33"/>
    </row>
    <row r="14" spans="1:71" x14ac:dyDescent="0.25">
      <c r="A14" s="86"/>
      <c r="B14" s="86"/>
      <c r="C14" s="19" t="s">
        <v>8</v>
      </c>
      <c r="D14" s="36">
        <f>1697</f>
        <v>1697</v>
      </c>
      <c r="E14" s="36">
        <f>SUM(F14:I14)*$BE$32</f>
        <v>506.71031214999999</v>
      </c>
      <c r="F14" s="36">
        <f>F$4/J$4</f>
        <v>27.032049999999998</v>
      </c>
      <c r="G14" s="36">
        <f>$BJ$9</f>
        <v>125</v>
      </c>
      <c r="H14" s="36">
        <f>BF11</f>
        <v>327</v>
      </c>
      <c r="I14" s="36">
        <f>D14*I$4</f>
        <v>6.7880000000000003</v>
      </c>
      <c r="J14" s="36">
        <f>ROUNDUP(D14*2.14%,1)</f>
        <v>36.4</v>
      </c>
      <c r="K14" s="36">
        <f>1697</f>
        <v>1697</v>
      </c>
      <c r="L14" s="36">
        <f>SUM(M14:P14)*$BE$32</f>
        <v>230.61282789999998</v>
      </c>
      <c r="M14" s="36">
        <f>M$4/Q$4</f>
        <v>13.317299999999999</v>
      </c>
      <c r="N14" s="36">
        <f>$BK$9</f>
        <v>56</v>
      </c>
      <c r="O14" s="36">
        <f>BG11</f>
        <v>145</v>
      </c>
      <c r="P14" s="36">
        <f>K14*P$4</f>
        <v>6.7880000000000003</v>
      </c>
      <c r="Q14" s="36">
        <f>ROUNDUP(K14*2.14%,1)</f>
        <v>36.4</v>
      </c>
      <c r="R14" s="36">
        <f>1697</f>
        <v>1697</v>
      </c>
      <c r="S14" s="36">
        <f>SUM(T14:W14)*$BE$32</f>
        <v>117.81347305</v>
      </c>
      <c r="T14" s="36">
        <f>T$4/X$4</f>
        <v>8.1683500000000002</v>
      </c>
      <c r="U14" s="36">
        <f>$BL$9</f>
        <v>22</v>
      </c>
      <c r="V14" s="36">
        <f>BH11</f>
        <v>76</v>
      </c>
      <c r="W14" s="36">
        <f>R14*W$4</f>
        <v>6.7880000000000003</v>
      </c>
      <c r="X14" s="36">
        <f>ROUNDUP(R14*2.14%,1)</f>
        <v>36.4</v>
      </c>
      <c r="Y14" s="36">
        <f>1729</f>
        <v>1729</v>
      </c>
      <c r="Z14" s="36">
        <f>SUM(AA14:AD14)*$BE$32</f>
        <v>82.771330092499994</v>
      </c>
      <c r="AA14" s="36">
        <f>AA$4/AE$4</f>
        <v>5.4428974999999999</v>
      </c>
      <c r="AB14" s="36">
        <f>$BM$9</f>
        <v>12</v>
      </c>
      <c r="AC14" s="36">
        <f>BI11</f>
        <v>55</v>
      </c>
      <c r="AD14" s="36">
        <f>Y14*AD$4</f>
        <v>6.9160000000000004</v>
      </c>
      <c r="AE14" s="36">
        <f>ROUNDUP(Y14*2.14%,1)</f>
        <v>37.1</v>
      </c>
      <c r="AF14" s="19" t="s">
        <v>8</v>
      </c>
      <c r="AG14" s="40">
        <f>3427*1.1182*BE$32</f>
        <v>3996.8504702</v>
      </c>
      <c r="AH14" s="40">
        <f>ROUNDUP(AG14*2.14%,1)</f>
        <v>85.6</v>
      </c>
      <c r="AI14" s="13"/>
      <c r="BE14" s="42" t="s">
        <v>22</v>
      </c>
      <c r="BF14" s="43">
        <v>244</v>
      </c>
      <c r="BG14" s="43">
        <v>108</v>
      </c>
      <c r="BH14" s="43">
        <v>46</v>
      </c>
      <c r="BI14" s="43">
        <v>27</v>
      </c>
      <c r="BJ14" s="33"/>
      <c r="BK14" s="33"/>
      <c r="BL14" s="33"/>
      <c r="BM14" s="33"/>
    </row>
    <row r="15" spans="1:71" ht="45.75" customHeight="1" x14ac:dyDescent="0.25">
      <c r="A15" s="86" t="s">
        <v>12</v>
      </c>
      <c r="B15" s="86"/>
      <c r="C15" s="19" t="s">
        <v>70</v>
      </c>
      <c r="D15" s="62">
        <f>SUM(D17,E17,J17)</f>
        <v>1142.4681481499999</v>
      </c>
      <c r="E15" s="62"/>
      <c r="F15" s="62"/>
      <c r="G15" s="62"/>
      <c r="H15" s="62"/>
      <c r="I15" s="62"/>
      <c r="J15" s="62"/>
      <c r="K15" s="62">
        <f>SUM(K17,L17,Q17)</f>
        <v>947.72466389999988</v>
      </c>
      <c r="L15" s="62"/>
      <c r="M15" s="62"/>
      <c r="N15" s="62"/>
      <c r="O15" s="62"/>
      <c r="P15" s="62"/>
      <c r="Q15" s="62"/>
      <c r="R15" s="62">
        <f>SUM(R17,S17,X17)</f>
        <v>775.51630104999992</v>
      </c>
      <c r="S15" s="62"/>
      <c r="T15" s="62"/>
      <c r="U15" s="62"/>
      <c r="V15" s="62"/>
      <c r="W15" s="62"/>
      <c r="X15" s="62"/>
      <c r="Y15" s="62">
        <f>SUM(Y17,Z17,AE17)</f>
        <v>605.57127409249995</v>
      </c>
      <c r="Z15" s="62"/>
      <c r="AA15" s="62"/>
      <c r="AB15" s="62"/>
      <c r="AC15" s="62"/>
      <c r="AD15" s="62"/>
      <c r="AE15" s="62"/>
      <c r="AF15" s="19" t="s">
        <v>11</v>
      </c>
      <c r="AG15" s="62">
        <f>AG17+AH17</f>
        <v>5758.5100883999994</v>
      </c>
      <c r="AH15" s="62"/>
      <c r="AI15" s="12"/>
      <c r="BE15" s="42" t="s">
        <v>21</v>
      </c>
      <c r="BF15" s="43">
        <v>270</v>
      </c>
      <c r="BG15" s="43">
        <v>113</v>
      </c>
      <c r="BH15" s="43">
        <v>50</v>
      </c>
      <c r="BI15" s="43">
        <v>29</v>
      </c>
      <c r="BJ15" s="33"/>
      <c r="BK15" s="33"/>
      <c r="BL15" s="33"/>
      <c r="BM15" s="33"/>
    </row>
    <row r="16" spans="1:71" ht="15.75" hidden="1" customHeight="1" x14ac:dyDescent="0.25">
      <c r="A16" s="86"/>
      <c r="B16" s="86"/>
      <c r="C16" s="19"/>
      <c r="D16" s="36"/>
      <c r="E16" s="36"/>
      <c r="F16" s="37">
        <f>F17*$BE$32/E17</f>
        <v>7.6998581915022846E-2</v>
      </c>
      <c r="G16" s="37">
        <f>G17*$BE$32/E17</f>
        <v>0.35605226904277909</v>
      </c>
      <c r="H16" s="37">
        <f>H17*$BE$32/E17</f>
        <v>0.55828995785907753</v>
      </c>
      <c r="I16" s="37">
        <f>I17*$BE$32/E17</f>
        <v>8.659191183120387E-3</v>
      </c>
      <c r="J16" s="36"/>
      <c r="K16" s="36"/>
      <c r="L16" s="36"/>
      <c r="M16" s="37">
        <f>M17*$BE$32/L17</f>
        <v>8.1026519661736976E-2</v>
      </c>
      <c r="N16" s="37">
        <f>N17*$BE$32/L17</f>
        <v>0.34072109970168657</v>
      </c>
      <c r="O16" s="37">
        <f>O17*$BE$32/L17</f>
        <v>0.55975609236705648</v>
      </c>
      <c r="P16" s="37">
        <f>P17*$BE$32/L17</f>
        <v>1.8496288269520128E-2</v>
      </c>
      <c r="Q16" s="36"/>
      <c r="R16" s="36"/>
      <c r="S16" s="36"/>
      <c r="T16" s="37">
        <f>T17*$BE$32/S17</f>
        <v>0.13184891291452225</v>
      </c>
      <c r="U16" s="37">
        <f>U17*$BE$32/S17</f>
        <v>0.35511163014800895</v>
      </c>
      <c r="V16" s="37">
        <f>V17*$BE$32/S17</f>
        <v>0.82321332443402073</v>
      </c>
      <c r="W16" s="37">
        <f>W17*$BE$32/S17</f>
        <v>4.4937762651457137E-2</v>
      </c>
      <c r="X16" s="36"/>
      <c r="Y16" s="36"/>
      <c r="Z16" s="36"/>
      <c r="AA16" s="37">
        <f>AA17*$BE$32/Z17</f>
        <v>8.9865879294873885E-2</v>
      </c>
      <c r="AB16" s="37">
        <f>AB17*$BE$32/Z17</f>
        <v>0.19812802859846004</v>
      </c>
      <c r="AC16" s="37">
        <f>AC17*$BE$32/Z17</f>
        <v>0.67693743104473858</v>
      </c>
      <c r="AD16" s="37">
        <f>AD17*$BE$32/Z17</f>
        <v>3.5068661061927436E-2</v>
      </c>
      <c r="AE16" s="36"/>
      <c r="AF16" s="19"/>
      <c r="AG16" s="36"/>
      <c r="AH16" s="36"/>
      <c r="AI16" s="12"/>
      <c r="AK16" s="24">
        <f>AVERAGE(F16,M16,T16,AA16)</f>
        <v>9.4934973446538978E-2</v>
      </c>
      <c r="AL16" s="24">
        <f t="shared" ref="AL16" si="7">AVERAGE(G16,N16,U16,AB16)</f>
        <v>0.31250325687273373</v>
      </c>
      <c r="AM16" s="24">
        <f t="shared" ref="AM16" si="8">AVERAGE(H16,O16,V16,AC16)</f>
        <v>0.6545492014262233</v>
      </c>
      <c r="AN16" s="24">
        <f t="shared" ref="AN16" si="9">AVERAGE(I16,P16,W16,AD16)</f>
        <v>2.6790475791506271E-2</v>
      </c>
      <c r="AP16" s="24">
        <f>MIN(F16,M16,T16,AA16)</f>
        <v>7.6998581915022846E-2</v>
      </c>
      <c r="AQ16" s="24">
        <f>MIN(G16,N16,U16,AB16)</f>
        <v>0.19812802859846004</v>
      </c>
      <c r="AR16" s="24">
        <f>MIN(H16,O16,V16,AC16)</f>
        <v>0.55828995785907753</v>
      </c>
      <c r="AS16" s="24">
        <f>MIN(I16,P16,W16,AD16)</f>
        <v>8.659191183120387E-3</v>
      </c>
      <c r="AU16" s="24">
        <f>MAX(F16,M16,T16,AA16)</f>
        <v>0.13184891291452225</v>
      </c>
      <c r="AV16" s="24">
        <f>MAX(G16,N16,U16,AB16)</f>
        <v>0.35605226904277909</v>
      </c>
      <c r="AW16" s="24">
        <f>MAX(H16,O16,V16,AC16)</f>
        <v>0.82321332443402073</v>
      </c>
      <c r="AX16" s="24">
        <f>MAX(I16,P16,W16,AD16)</f>
        <v>4.4937762651457137E-2</v>
      </c>
      <c r="AZ16" s="25">
        <f>AU16/AP16</f>
        <v>1.7123550802537286</v>
      </c>
      <c r="BA16" s="25">
        <f t="shared" ref="BA16" si="10">AV16/AQ16</f>
        <v>1.7970817736463689</v>
      </c>
      <c r="BB16" s="25">
        <f t="shared" ref="BB16" si="11">AW16/AR16</f>
        <v>1.4745264765120756</v>
      </c>
      <c r="BC16" s="25">
        <f t="shared" ref="BC16" si="12">AX16/AS16</f>
        <v>5.189602781730426</v>
      </c>
      <c r="BE16" s="42"/>
      <c r="BF16" s="43"/>
      <c r="BG16" s="43"/>
      <c r="BH16" s="43"/>
      <c r="BI16" s="43"/>
      <c r="BJ16" s="33"/>
      <c r="BK16" s="33"/>
      <c r="BL16" s="33"/>
      <c r="BM16" s="33"/>
    </row>
    <row r="17" spans="1:65" x14ac:dyDescent="0.25">
      <c r="A17" s="86"/>
      <c r="B17" s="86"/>
      <c r="C17" s="19" t="s">
        <v>8</v>
      </c>
      <c r="D17" s="36">
        <f>760</f>
        <v>760</v>
      </c>
      <c r="E17" s="36">
        <f>SUM(F17:I17)*$BE$32</f>
        <v>366.16814815000004</v>
      </c>
      <c r="F17" s="36">
        <f>F$4/J$4</f>
        <v>27.032049999999998</v>
      </c>
      <c r="G17" s="36">
        <f>$BJ$9</f>
        <v>125</v>
      </c>
      <c r="H17" s="36">
        <f>BF12</f>
        <v>196</v>
      </c>
      <c r="I17" s="36">
        <f>D17*I$4</f>
        <v>3.04</v>
      </c>
      <c r="J17" s="36">
        <f>ROUNDUP(D17*2.14%,1)</f>
        <v>16.3</v>
      </c>
      <c r="K17" s="36">
        <f>760</f>
        <v>760</v>
      </c>
      <c r="L17" s="36">
        <f>SUM(M17:P17)*$BE$32</f>
        <v>171.42466389999996</v>
      </c>
      <c r="M17" s="36">
        <f>M$4/Q$4</f>
        <v>13.317299999999999</v>
      </c>
      <c r="N17" s="36">
        <f>$BK$9</f>
        <v>56</v>
      </c>
      <c r="O17" s="36">
        <f>BG12</f>
        <v>92</v>
      </c>
      <c r="P17" s="36">
        <f>K17*P$4</f>
        <v>3.04</v>
      </c>
      <c r="Q17" s="36">
        <f>ROUNDUP(K17*2.14%,1)</f>
        <v>16.3</v>
      </c>
      <c r="R17" s="36">
        <f>696</f>
        <v>696</v>
      </c>
      <c r="S17" s="36">
        <f>(BH12+R17*R$4+S$4/X$4)*BE$32</f>
        <v>64.61630104999999</v>
      </c>
      <c r="T17" s="36">
        <f>T$4/X$4</f>
        <v>8.1683500000000002</v>
      </c>
      <c r="U17" s="36">
        <f>$BL$9</f>
        <v>22</v>
      </c>
      <c r="V17" s="36">
        <f>BH12</f>
        <v>51</v>
      </c>
      <c r="W17" s="36">
        <f>R17*W$4</f>
        <v>2.7840000000000003</v>
      </c>
      <c r="X17" s="36">
        <f>ROUNDUP(R17*2.14%,1)</f>
        <v>14.9</v>
      </c>
      <c r="Y17" s="36">
        <f>531</f>
        <v>531</v>
      </c>
      <c r="Z17" s="36">
        <f>SUM(AA17:AD17)*$BE$32</f>
        <v>63.171274092499999</v>
      </c>
      <c r="AA17" s="36">
        <f>AA$4/AE$4</f>
        <v>5.4428974999999999</v>
      </c>
      <c r="AB17" s="36">
        <f>$BM$9</f>
        <v>12</v>
      </c>
      <c r="AC17" s="36">
        <f>BI12</f>
        <v>41</v>
      </c>
      <c r="AD17" s="36">
        <f>Y17*AD$4</f>
        <v>2.1240000000000001</v>
      </c>
      <c r="AE17" s="36">
        <f>ROUNDUP(Y17*2.14%,1)</f>
        <v>11.4</v>
      </c>
      <c r="AF17" s="19" t="s">
        <v>8</v>
      </c>
      <c r="AG17" s="40">
        <f>4834*1.1182*BE$32</f>
        <v>5637.8100883999996</v>
      </c>
      <c r="AH17" s="40">
        <f>ROUNDUP(AG17*2.14%,1)</f>
        <v>120.69999999999999</v>
      </c>
      <c r="AI17" s="13"/>
      <c r="BE17" s="42" t="s">
        <v>53</v>
      </c>
      <c r="BF17" s="43">
        <v>244</v>
      </c>
      <c r="BG17" s="43">
        <v>108</v>
      </c>
      <c r="BH17" s="43">
        <v>46</v>
      </c>
      <c r="BI17" s="43">
        <v>27</v>
      </c>
      <c r="BJ17" s="33"/>
      <c r="BK17" s="33"/>
      <c r="BL17" s="33"/>
      <c r="BM17" s="33"/>
    </row>
    <row r="18" spans="1:65" ht="34.5" x14ac:dyDescent="0.25">
      <c r="A18" s="86" t="s">
        <v>22</v>
      </c>
      <c r="B18" s="86"/>
      <c r="C18" s="19" t="s">
        <v>70</v>
      </c>
      <c r="D18" s="62">
        <f>SUM(D20,E20,J20)</f>
        <v>1475.5836201500001</v>
      </c>
      <c r="E18" s="62"/>
      <c r="F18" s="62"/>
      <c r="G18" s="62"/>
      <c r="H18" s="62"/>
      <c r="I18" s="62"/>
      <c r="J18" s="62"/>
      <c r="K18" s="62">
        <f>SUM(K20,L20,Q20)</f>
        <v>1544.8740159000001</v>
      </c>
      <c r="L18" s="62"/>
      <c r="M18" s="62"/>
      <c r="N18" s="62"/>
      <c r="O18" s="62"/>
      <c r="P18" s="62"/>
      <c r="Q18" s="62"/>
      <c r="R18" s="62">
        <f>SUM(R20,S20,X20)</f>
        <v>1123.4906850499999</v>
      </c>
      <c r="S18" s="62"/>
      <c r="T18" s="62"/>
      <c r="U18" s="62"/>
      <c r="V18" s="62"/>
      <c r="W18" s="62"/>
      <c r="X18" s="62"/>
      <c r="Y18" s="62">
        <f>SUM(Y20,Z20,AE20)</f>
        <v>1134.5804340924999</v>
      </c>
      <c r="Z18" s="62"/>
      <c r="AA18" s="62"/>
      <c r="AB18" s="62"/>
      <c r="AC18" s="62"/>
      <c r="AD18" s="62"/>
      <c r="AE18" s="62"/>
      <c r="AF18" s="19" t="s">
        <v>29</v>
      </c>
      <c r="AG18" s="62">
        <f>AG20+AH20</f>
        <v>2794.6989795999998</v>
      </c>
      <c r="AH18" s="62"/>
      <c r="AI18" s="12"/>
      <c r="BE18" s="35" t="s">
        <v>54</v>
      </c>
      <c r="BF18" s="1">
        <v>198</v>
      </c>
      <c r="BG18" s="1">
        <v>102</v>
      </c>
      <c r="BH18" s="1">
        <v>56</v>
      </c>
      <c r="BI18" s="1">
        <v>44</v>
      </c>
      <c r="BJ18" s="33"/>
      <c r="BK18" s="33"/>
      <c r="BL18" s="33"/>
      <c r="BM18" s="33"/>
    </row>
    <row r="19" spans="1:65" ht="15.75" hidden="1" customHeight="1" x14ac:dyDescent="0.25">
      <c r="A19" s="86"/>
      <c r="B19" s="86"/>
      <c r="C19" s="19"/>
      <c r="D19" s="36"/>
      <c r="E19" s="36"/>
      <c r="F19" s="37">
        <f>F20*$BE$32/E20</f>
        <v>6.755039438267231E-2</v>
      </c>
      <c r="G19" s="37">
        <f>G20*$BE$32/E20</f>
        <v>0.3123625214452489</v>
      </c>
      <c r="H19" s="37">
        <f>H20*$BE$32/E20</f>
        <v>0.60973164186112583</v>
      </c>
      <c r="I19" s="37">
        <f>I20*$BE$32/E20</f>
        <v>1.0355442310952891E-2</v>
      </c>
      <c r="J19" s="36"/>
      <c r="K19" s="36"/>
      <c r="L19" s="36"/>
      <c r="M19" s="37">
        <f>M20*$BE$32/L20</f>
        <v>7.292303800268643E-2</v>
      </c>
      <c r="N19" s="37">
        <f>N20*$BE$32/L20</f>
        <v>0.30664550082602632</v>
      </c>
      <c r="O19" s="37">
        <f>O20*$BE$32/L20</f>
        <v>0.59138775159305079</v>
      </c>
      <c r="P19" s="37">
        <f>P20*$BE$32/L20</f>
        <v>2.9043709578236498E-2</v>
      </c>
      <c r="Q19" s="36"/>
      <c r="R19" s="36"/>
      <c r="S19" s="36"/>
      <c r="T19" s="37">
        <f>T20*$BE$32/S20</f>
        <v>0.10179853402932565</v>
      </c>
      <c r="U19" s="37">
        <f>U20*$BE$32/S20</f>
        <v>0.27417627166381997</v>
      </c>
      <c r="V19" s="37">
        <f>V20*$BE$32/S20</f>
        <v>0.57327765893344174</v>
      </c>
      <c r="W19" s="37">
        <f>W20*$BE$32/S20</f>
        <v>5.0747535373412506E-2</v>
      </c>
      <c r="X19" s="36"/>
      <c r="Y19" s="36"/>
      <c r="Z19" s="36"/>
      <c r="AA19" s="37">
        <f>AA20*$BE$32/Z20</f>
        <v>0.11179388664065111</v>
      </c>
      <c r="AB19" s="37">
        <f>AB20*$BE$32/Z20</f>
        <v>0.24647288318176364</v>
      </c>
      <c r="AC19" s="37">
        <f>AC20*$BE$32/Z20</f>
        <v>0.55456398715896815</v>
      </c>
      <c r="AD19" s="37">
        <f>AD20*$BE$32/Z20</f>
        <v>8.7169243018617074E-2</v>
      </c>
      <c r="AE19" s="36"/>
      <c r="AF19" s="19"/>
      <c r="AG19" s="36"/>
      <c r="AH19" s="36"/>
      <c r="AI19" s="12"/>
      <c r="AK19" s="24">
        <f>AVERAGE(F19,M19,T19,AA19)</f>
        <v>8.8516463263833875E-2</v>
      </c>
      <c r="AL19" s="24">
        <f t="shared" ref="AL19" si="13">AVERAGE(G19,N19,U19,AB19)</f>
        <v>0.28491429427921472</v>
      </c>
      <c r="AM19" s="24">
        <f t="shared" ref="AM19" si="14">AVERAGE(H19,O19,V19,AC19)</f>
        <v>0.58224025988664663</v>
      </c>
      <c r="AN19" s="24">
        <f t="shared" ref="AN19" si="15">AVERAGE(I19,P19,W19,AD19)</f>
        <v>4.4328982570304737E-2</v>
      </c>
      <c r="AP19" s="24">
        <f>MIN(F19,M19,T19,AA19)</f>
        <v>6.755039438267231E-2</v>
      </c>
      <c r="AQ19" s="24">
        <f>MIN(G19,N19,U19,AB19)</f>
        <v>0.24647288318176364</v>
      </c>
      <c r="AR19" s="24">
        <f>MIN(H19,O19,V19,AC19)</f>
        <v>0.55456398715896815</v>
      </c>
      <c r="AS19" s="24">
        <f>MIN(I19,P19,W19,AD19)</f>
        <v>1.0355442310952891E-2</v>
      </c>
      <c r="AU19" s="24">
        <f>MAX(F19,M19,T19,AA19)</f>
        <v>0.11179388664065111</v>
      </c>
      <c r="AV19" s="24">
        <f>MAX(G19,N19,U19,AB19)</f>
        <v>0.3123625214452489</v>
      </c>
      <c r="AW19" s="24">
        <f>MAX(H19,O19,V19,AC19)</f>
        <v>0.60973164186112583</v>
      </c>
      <c r="AX19" s="24">
        <f>MAX(I19,P19,W19,AD19)</f>
        <v>8.7169243018617074E-2</v>
      </c>
      <c r="AZ19" s="25">
        <f>AU19/AP19</f>
        <v>1.6549701546868825</v>
      </c>
      <c r="BA19" s="25">
        <f t="shared" ref="BA19" si="16">AV19/AQ19</f>
        <v>1.2673301720371988</v>
      </c>
      <c r="BB19" s="25">
        <f t="shared" ref="BB19" si="17">AW19/AR19</f>
        <v>1.0994793314740499</v>
      </c>
      <c r="BC19" s="25">
        <f t="shared" ref="BC19" si="18">AX19/AS19</f>
        <v>8.4177228167664708</v>
      </c>
      <c r="BE19" s="35"/>
      <c r="BF19" s="1"/>
      <c r="BG19" s="1"/>
      <c r="BH19" s="1"/>
      <c r="BI19" s="1"/>
      <c r="BJ19" s="33"/>
      <c r="BK19" s="33"/>
      <c r="BL19" s="33"/>
      <c r="BM19" s="33"/>
    </row>
    <row r="20" spans="1:65" x14ac:dyDescent="0.25">
      <c r="A20" s="86"/>
      <c r="B20" s="86"/>
      <c r="C20" s="19" t="s">
        <v>8</v>
      </c>
      <c r="D20" s="36">
        <f>1036</f>
        <v>1036</v>
      </c>
      <c r="E20" s="36">
        <f>SUM(F20:I20)*$BE$32</f>
        <v>417.38362015000001</v>
      </c>
      <c r="F20" s="36">
        <f>F$4/J$4</f>
        <v>27.032049999999998</v>
      </c>
      <c r="G20" s="36">
        <f>$BJ$9</f>
        <v>125</v>
      </c>
      <c r="H20" s="36">
        <f>BF14</f>
        <v>244</v>
      </c>
      <c r="I20" s="36">
        <f>D20*I$4</f>
        <v>4.1440000000000001</v>
      </c>
      <c r="J20" s="36">
        <f>ROUNDUP(D20*2.14%,1)</f>
        <v>22.200000000000003</v>
      </c>
      <c r="K20" s="36">
        <f>1326</f>
        <v>1326</v>
      </c>
      <c r="L20" s="36">
        <f>SUM(M20:P20)*$BE$32</f>
        <v>190.47401589999998</v>
      </c>
      <c r="M20" s="36">
        <f>M$4/Q$4</f>
        <v>13.317299999999999</v>
      </c>
      <c r="N20" s="36">
        <f>$BK$9</f>
        <v>56</v>
      </c>
      <c r="O20" s="36">
        <f>BG14</f>
        <v>108</v>
      </c>
      <c r="P20" s="36">
        <f>K20*P$4</f>
        <v>5.3040000000000003</v>
      </c>
      <c r="Q20" s="36">
        <f>ROUNDUP(K20*2.14%,1)</f>
        <v>28.400000000000002</v>
      </c>
      <c r="R20" s="36">
        <f>1018</f>
        <v>1018</v>
      </c>
      <c r="S20" s="36">
        <f>SUM(T20:W20)*$BE$32</f>
        <v>83.690685049999999</v>
      </c>
      <c r="T20" s="36">
        <f>T$4/X$4</f>
        <v>8.1683500000000002</v>
      </c>
      <c r="U20" s="36">
        <f>$BL$9</f>
        <v>22</v>
      </c>
      <c r="V20" s="36">
        <f>BH14</f>
        <v>46</v>
      </c>
      <c r="W20" s="36">
        <f>R20*W$4</f>
        <v>4.0720000000000001</v>
      </c>
      <c r="X20" s="36">
        <f>ROUNDUP(R20*2.14%,1)</f>
        <v>21.8</v>
      </c>
      <c r="Y20" s="36">
        <f>1061</f>
        <v>1061</v>
      </c>
      <c r="Z20" s="36">
        <f>SUM(AA20:AD20)*$BE$32</f>
        <v>50.780434092499995</v>
      </c>
      <c r="AA20" s="36">
        <f>AA$4/AE$4</f>
        <v>5.4428974999999999</v>
      </c>
      <c r="AB20" s="36">
        <f>$BM$9</f>
        <v>12</v>
      </c>
      <c r="AC20" s="36">
        <f>BI14</f>
        <v>27</v>
      </c>
      <c r="AD20" s="36">
        <f>Y20*AD$4</f>
        <v>4.2439999999999998</v>
      </c>
      <c r="AE20" s="36">
        <f>ROUNDUP(Y20*2.14%,1)</f>
        <v>22.8</v>
      </c>
      <c r="AF20" s="19" t="s">
        <v>8</v>
      </c>
      <c r="AG20" s="36">
        <f>2346*1.1182*BE$32</f>
        <v>2736.0989795999999</v>
      </c>
      <c r="AH20" s="40">
        <f>ROUNDUP(AG20*2.14%,1)</f>
        <v>58.6</v>
      </c>
      <c r="AI20" s="13"/>
      <c r="BE20" s="35" t="s">
        <v>55</v>
      </c>
      <c r="BF20" s="1">
        <v>375</v>
      </c>
      <c r="BG20" s="1">
        <v>178</v>
      </c>
      <c r="BH20" s="1">
        <v>85</v>
      </c>
      <c r="BI20" s="1">
        <v>55</v>
      </c>
      <c r="BJ20" s="33"/>
      <c r="BK20" s="33"/>
      <c r="BL20" s="33"/>
      <c r="BM20" s="33"/>
    </row>
    <row r="21" spans="1:65" ht="34.5" x14ac:dyDescent="0.25">
      <c r="A21" s="86" t="s">
        <v>21</v>
      </c>
      <c r="B21" s="86"/>
      <c r="C21" s="19" t="s">
        <v>70</v>
      </c>
      <c r="D21" s="62">
        <f>SUM(D23,E23,J23)</f>
        <v>1502.7016201500001</v>
      </c>
      <c r="E21" s="62"/>
      <c r="F21" s="62"/>
      <c r="G21" s="62"/>
      <c r="H21" s="62"/>
      <c r="I21" s="62"/>
      <c r="J21" s="62"/>
      <c r="K21" s="62">
        <f>SUM(K23,L23,Q23)</f>
        <v>1550.0890159</v>
      </c>
      <c r="L21" s="62"/>
      <c r="M21" s="62"/>
      <c r="N21" s="62"/>
      <c r="O21" s="62"/>
      <c r="P21" s="62"/>
      <c r="Q21" s="62"/>
      <c r="R21" s="62">
        <f>SUM(R23,S23,X23)</f>
        <v>1127.6626850499999</v>
      </c>
      <c r="S21" s="62"/>
      <c r="T21" s="62"/>
      <c r="U21" s="62"/>
      <c r="V21" s="62"/>
      <c r="W21" s="62"/>
      <c r="X21" s="62"/>
      <c r="Y21" s="62">
        <f>SUM(Y23,Z23,AE23)</f>
        <v>1136.6664340924999</v>
      </c>
      <c r="Z21" s="62"/>
      <c r="AA21" s="62"/>
      <c r="AB21" s="62"/>
      <c r="AC21" s="62"/>
      <c r="AD21" s="62"/>
      <c r="AE21" s="62"/>
      <c r="AF21" s="19" t="s">
        <v>29</v>
      </c>
      <c r="AG21" s="62">
        <f>AG23+AH23</f>
        <v>5255.8388311999997</v>
      </c>
      <c r="AH21" s="62"/>
      <c r="AI21" s="12"/>
      <c r="BE21" s="35" t="s">
        <v>47</v>
      </c>
      <c r="BF21" s="1">
        <v>155</v>
      </c>
      <c r="BG21" s="1">
        <v>82</v>
      </c>
      <c r="BH21" s="1">
        <v>48</v>
      </c>
      <c r="BI21" s="1">
        <v>38</v>
      </c>
      <c r="BJ21" s="33"/>
      <c r="BK21" s="33"/>
      <c r="BL21" s="33"/>
      <c r="BM21" s="33"/>
    </row>
    <row r="22" spans="1:65" ht="15.75" hidden="1" customHeight="1" x14ac:dyDescent="0.25">
      <c r="A22" s="86"/>
      <c r="B22" s="86"/>
      <c r="C22" s="19"/>
      <c r="D22" s="36"/>
      <c r="E22" s="36"/>
      <c r="F22" s="37">
        <f>F23*$BE$32/E23</f>
        <v>6.342930345334985E-2</v>
      </c>
      <c r="G22" s="37">
        <f>G23*$BE$32/E23</f>
        <v>0.2933060175483817</v>
      </c>
      <c r="H22" s="37">
        <f>H23*$BE$32/E23</f>
        <v>0.63354099790450435</v>
      </c>
      <c r="I22" s="37">
        <f>I23*$BE$32/E23</f>
        <v>9.7236810937639511E-3</v>
      </c>
      <c r="J22" s="36"/>
      <c r="K22" s="36"/>
      <c r="L22" s="36"/>
      <c r="M22" s="37">
        <f>M23*$BE$32/L23</f>
        <v>7.0979680878450371E-2</v>
      </c>
      <c r="N22" s="37">
        <f>N23*$BE$32/L23</f>
        <v>0.29847357416242187</v>
      </c>
      <c r="O22" s="37">
        <f>O23*$BE$32/L23</f>
        <v>0.60227703357774409</v>
      </c>
      <c r="P22" s="37">
        <f>P23*$BE$32/L23</f>
        <v>2.8269711381383674E-2</v>
      </c>
      <c r="Q22" s="36"/>
      <c r="R22" s="36"/>
      <c r="S22" s="36"/>
      <c r="T22" s="37">
        <f>T23*$BE$32/S23</f>
        <v>9.696481555454127E-2</v>
      </c>
      <c r="U22" s="37">
        <f>U23*$BE$32/S23</f>
        <v>0.26115750943579885</v>
      </c>
      <c r="V22" s="37">
        <f>V23*$BE$32/S23</f>
        <v>0.59353979417227021</v>
      </c>
      <c r="W22" s="37">
        <f>W23*$BE$32/S23</f>
        <v>4.8337880837389685E-2</v>
      </c>
      <c r="X22" s="36"/>
      <c r="Y22" s="36"/>
      <c r="Z22" s="36"/>
      <c r="AA22" s="37">
        <f>AA23*$BE$32/Z23</f>
        <v>0.10738273140509338</v>
      </c>
      <c r="AB22" s="37">
        <f>AB23*$BE$32/Z23</f>
        <v>0.23674757367029611</v>
      </c>
      <c r="AC22" s="37">
        <f>AC23*$BE$32/Z23</f>
        <v>0.57213996970321568</v>
      </c>
      <c r="AD22" s="37">
        <f>AD23*$BE$32/Z23</f>
        <v>8.3729725221394727E-2</v>
      </c>
      <c r="AE22" s="36"/>
      <c r="AF22" s="19"/>
      <c r="AG22" s="36"/>
      <c r="AH22" s="36"/>
      <c r="AI22" s="12"/>
      <c r="AK22" s="24">
        <f>AVERAGE(F22,M22,T22,AA22)</f>
        <v>8.4689132822858726E-2</v>
      </c>
      <c r="AL22" s="24">
        <f t="shared" ref="AL22" si="19">AVERAGE(G22,N22,U22,AB22)</f>
        <v>0.27242116870422461</v>
      </c>
      <c r="AM22" s="24">
        <f t="shared" ref="AM22" si="20">AVERAGE(H22,O22,V22,AC22)</f>
        <v>0.60037444883943358</v>
      </c>
      <c r="AN22" s="24">
        <f t="shared" ref="AN22" si="21">AVERAGE(I22,P22,W22,AD22)</f>
        <v>4.2515249633483007E-2</v>
      </c>
      <c r="AP22" s="24">
        <f>MIN(F22,M22,T22,AA22)</f>
        <v>6.342930345334985E-2</v>
      </c>
      <c r="AQ22" s="24">
        <f>MIN(G22,N22,U22,AB22)</f>
        <v>0.23674757367029611</v>
      </c>
      <c r="AR22" s="24">
        <f>MIN(H22,O22,V22,AC22)</f>
        <v>0.57213996970321568</v>
      </c>
      <c r="AS22" s="24">
        <f>MIN(I22,P22,W22,AD22)</f>
        <v>9.7236810937639511E-3</v>
      </c>
      <c r="AU22" s="24">
        <f>MAX(F22,M22,T22,AA22)</f>
        <v>0.10738273140509338</v>
      </c>
      <c r="AV22" s="24">
        <f>MAX(G22,N22,U22,AB22)</f>
        <v>0.29847357416242187</v>
      </c>
      <c r="AW22" s="24">
        <f>MAX(H22,O22,V22,AC22)</f>
        <v>0.63354099790450435</v>
      </c>
      <c r="AX22" s="24">
        <f>MAX(I22,P22,W22,AD22)</f>
        <v>8.3729725221394727E-2</v>
      </c>
      <c r="AZ22" s="25">
        <f>AU22/AP22</f>
        <v>1.6929514523846194</v>
      </c>
      <c r="BA22" s="25">
        <f t="shared" ref="BA22" si="22">AV22/AQ22</f>
        <v>1.260724955002444</v>
      </c>
      <c r="BB22" s="25">
        <f t="shared" ref="BB22" si="23">AW22/AR22</f>
        <v>1.1073181938908045</v>
      </c>
      <c r="BC22" s="25">
        <f t="shared" ref="BC22" si="24">AX22/AS22</f>
        <v>8.6109081955693476</v>
      </c>
      <c r="BE22" s="35"/>
      <c r="BF22" s="1"/>
      <c r="BG22" s="1"/>
      <c r="BH22" s="1"/>
      <c r="BI22" s="1"/>
      <c r="BJ22" s="33"/>
      <c r="BK22" s="33"/>
      <c r="BL22" s="33"/>
      <c r="BM22" s="33"/>
    </row>
    <row r="23" spans="1:65" x14ac:dyDescent="0.25">
      <c r="A23" s="86"/>
      <c r="B23" s="86"/>
      <c r="C23" s="19" t="s">
        <v>8</v>
      </c>
      <c r="D23" s="36">
        <f>1036</f>
        <v>1036</v>
      </c>
      <c r="E23" s="36">
        <f>SUM(F23:I23)*$BE$32</f>
        <v>444.50162015000001</v>
      </c>
      <c r="F23" s="36">
        <f>F$4/J$4</f>
        <v>27.032049999999998</v>
      </c>
      <c r="G23" s="36">
        <f>$BJ$9</f>
        <v>125</v>
      </c>
      <c r="H23" s="36">
        <f>BF15</f>
        <v>270</v>
      </c>
      <c r="I23" s="36">
        <f>D23*I$4</f>
        <v>4.1440000000000001</v>
      </c>
      <c r="J23" s="36">
        <f>ROUNDUP(D23*2.14%,1)</f>
        <v>22.200000000000003</v>
      </c>
      <c r="K23" s="36">
        <f>1326</f>
        <v>1326</v>
      </c>
      <c r="L23" s="36">
        <f>SUM(M23:P23)*$BE$32</f>
        <v>195.68901589999999</v>
      </c>
      <c r="M23" s="36">
        <f>M$4/Q$4</f>
        <v>13.317299999999999</v>
      </c>
      <c r="N23" s="36">
        <f>$BK$9</f>
        <v>56</v>
      </c>
      <c r="O23" s="36">
        <f>BG15</f>
        <v>113</v>
      </c>
      <c r="P23" s="36">
        <f>K23*P$4</f>
        <v>5.3040000000000003</v>
      </c>
      <c r="Q23" s="36">
        <f>ROUNDUP(K23*2.14%,1)</f>
        <v>28.400000000000002</v>
      </c>
      <c r="R23" s="36">
        <f>1018</f>
        <v>1018</v>
      </c>
      <c r="S23" s="36">
        <f>SUM(T23:W23)*$BE$32</f>
        <v>87.862685049999996</v>
      </c>
      <c r="T23" s="36">
        <f>T$4/X$4</f>
        <v>8.1683500000000002</v>
      </c>
      <c r="U23" s="36">
        <f>$BL$9</f>
        <v>22</v>
      </c>
      <c r="V23" s="36">
        <f>BH15</f>
        <v>50</v>
      </c>
      <c r="W23" s="36">
        <f>R23*W$4</f>
        <v>4.0720000000000001</v>
      </c>
      <c r="X23" s="36">
        <f>ROUNDUP(R23*2.14%,1)</f>
        <v>21.8</v>
      </c>
      <c r="Y23" s="36">
        <f>1061</f>
        <v>1061</v>
      </c>
      <c r="Z23" s="36">
        <f>SUM(AA23:AD23)*$BE$32</f>
        <v>52.8664340925</v>
      </c>
      <c r="AA23" s="36">
        <f>AA$4/AE$4</f>
        <v>5.4428974999999999</v>
      </c>
      <c r="AB23" s="36">
        <f>$BM$9</f>
        <v>12</v>
      </c>
      <c r="AC23" s="36">
        <f>BI15</f>
        <v>29</v>
      </c>
      <c r="AD23" s="36">
        <f>Y23*AD$4</f>
        <v>4.2439999999999998</v>
      </c>
      <c r="AE23" s="36">
        <f>ROUNDUP(Y23*2.14%,1)</f>
        <v>22.8</v>
      </c>
      <c r="AF23" s="19" t="s">
        <v>8</v>
      </c>
      <c r="AG23" s="36">
        <f>4412*1.1182*BE$32</f>
        <v>5145.6388311999999</v>
      </c>
      <c r="AH23" s="40">
        <f>ROUNDUP(AG23*2.14%,1)</f>
        <v>110.19999999999999</v>
      </c>
      <c r="AI23" s="13"/>
      <c r="BE23" s="35" t="s">
        <v>48</v>
      </c>
      <c r="BF23" s="1">
        <v>152</v>
      </c>
      <c r="BG23" s="1">
        <v>81</v>
      </c>
      <c r="BH23" s="1">
        <v>47</v>
      </c>
      <c r="BI23" s="1">
        <v>38</v>
      </c>
      <c r="BJ23" s="33"/>
      <c r="BK23" s="33"/>
      <c r="BL23" s="33"/>
      <c r="BM23" s="33"/>
    </row>
    <row r="24" spans="1:65" ht="34.5" x14ac:dyDescent="0.25">
      <c r="A24" s="86" t="s">
        <v>23</v>
      </c>
      <c r="B24" s="86"/>
      <c r="C24" s="19" t="s">
        <v>70</v>
      </c>
      <c r="D24" s="62">
        <f>SUM(D26,E26,J26)</f>
        <v>1475.5836201500001</v>
      </c>
      <c r="E24" s="62"/>
      <c r="F24" s="62"/>
      <c r="G24" s="62"/>
      <c r="H24" s="62"/>
      <c r="I24" s="62"/>
      <c r="J24" s="62"/>
      <c r="K24" s="62">
        <f>SUM(K26,L26,Q26)</f>
        <v>1544.8740159000001</v>
      </c>
      <c r="L24" s="62"/>
      <c r="M24" s="62"/>
      <c r="N24" s="62"/>
      <c r="O24" s="62"/>
      <c r="P24" s="62"/>
      <c r="Q24" s="62"/>
      <c r="R24" s="62">
        <f>SUM(R26,S26,X26)</f>
        <v>1123.4906850499999</v>
      </c>
      <c r="S24" s="62"/>
      <c r="T24" s="62"/>
      <c r="U24" s="62"/>
      <c r="V24" s="62"/>
      <c r="W24" s="62"/>
      <c r="X24" s="62"/>
      <c r="Y24" s="62">
        <f>SUM(Y26,Z26,AE26)</f>
        <v>1134.5804340924999</v>
      </c>
      <c r="Z24" s="62"/>
      <c r="AA24" s="62"/>
      <c r="AB24" s="62"/>
      <c r="AC24" s="62"/>
      <c r="AD24" s="62"/>
      <c r="AE24" s="62"/>
      <c r="AF24" s="19" t="s">
        <v>29</v>
      </c>
      <c r="AG24" s="62">
        <f>AG26+AH26</f>
        <v>16165.154882000003</v>
      </c>
      <c r="AH24" s="62"/>
      <c r="AI24" s="12"/>
      <c r="BE24" s="35" t="s">
        <v>56</v>
      </c>
      <c r="BF24" s="1">
        <v>282</v>
      </c>
      <c r="BG24" s="1">
        <v>140</v>
      </c>
      <c r="BH24" s="1"/>
      <c r="BI24" s="1"/>
      <c r="BJ24" s="33"/>
      <c r="BK24" s="33"/>
      <c r="BL24" s="33"/>
      <c r="BM24" s="33"/>
    </row>
    <row r="25" spans="1:65" ht="15.75" hidden="1" customHeight="1" x14ac:dyDescent="0.25">
      <c r="A25" s="86"/>
      <c r="B25" s="86"/>
      <c r="C25" s="19"/>
      <c r="D25" s="36"/>
      <c r="E25" s="36"/>
      <c r="F25" s="37">
        <f>F26*$BE$32/E26</f>
        <v>6.755039438267231E-2</v>
      </c>
      <c r="G25" s="37">
        <f>G26*$BE$32/E26</f>
        <v>0.3123625214452489</v>
      </c>
      <c r="H25" s="37">
        <f>H26*$BE$32/E26</f>
        <v>0.60973164186112583</v>
      </c>
      <c r="I25" s="37">
        <f>I26*$BE$32/E26</f>
        <v>1.0355442310952891E-2</v>
      </c>
      <c r="J25" s="36"/>
      <c r="K25" s="36"/>
      <c r="L25" s="36"/>
      <c r="M25" s="37">
        <f>M26*$BE$32/L26</f>
        <v>7.292303800268643E-2</v>
      </c>
      <c r="N25" s="37">
        <f>N26*$BE$32/L26</f>
        <v>0.30664550082602632</v>
      </c>
      <c r="O25" s="37">
        <f>O26*$BE$32/L26</f>
        <v>0.59138775159305079</v>
      </c>
      <c r="P25" s="37">
        <f>P26*$BE$32/L26</f>
        <v>2.9043709578236498E-2</v>
      </c>
      <c r="Q25" s="36"/>
      <c r="R25" s="36"/>
      <c r="S25" s="36"/>
      <c r="T25" s="37">
        <f>T26*$BE$32/S26</f>
        <v>0.10179853402932565</v>
      </c>
      <c r="U25" s="37">
        <f>U26*$BE$32/S26</f>
        <v>0.27417627166381997</v>
      </c>
      <c r="V25" s="37">
        <f>V26*$BE$32/S26</f>
        <v>0.57327765893344174</v>
      </c>
      <c r="W25" s="37">
        <f>W26*$BE$32/S26</f>
        <v>5.0747535373412506E-2</v>
      </c>
      <c r="X25" s="36"/>
      <c r="Y25" s="36"/>
      <c r="Z25" s="36"/>
      <c r="AA25" s="37">
        <f>AA26*$BE$32/Z26</f>
        <v>0.11179388664065111</v>
      </c>
      <c r="AB25" s="37">
        <f>AB26*$BE$32/Z26</f>
        <v>0.24647288318176364</v>
      </c>
      <c r="AC25" s="37">
        <f>AC26*$BE$32/Z26</f>
        <v>0.55456398715896815</v>
      </c>
      <c r="AD25" s="37">
        <f>AD26*$BE$32/Z26</f>
        <v>8.7169243018617074E-2</v>
      </c>
      <c r="AE25" s="36"/>
      <c r="AF25" s="19"/>
      <c r="AG25" s="36"/>
      <c r="AH25" s="36"/>
      <c r="AI25" s="12"/>
      <c r="AK25" s="24">
        <f>AVERAGE(F25,M25,T25,AA25)</f>
        <v>8.8516463263833875E-2</v>
      </c>
      <c r="AL25" s="24">
        <f t="shared" ref="AL25" si="25">AVERAGE(G25,N25,U25,AB25)</f>
        <v>0.28491429427921472</v>
      </c>
      <c r="AM25" s="24">
        <f t="shared" ref="AM25" si="26">AVERAGE(H25,O25,V25,AC25)</f>
        <v>0.58224025988664663</v>
      </c>
      <c r="AN25" s="24">
        <f t="shared" ref="AN25" si="27">AVERAGE(I25,P25,W25,AD25)</f>
        <v>4.4328982570304737E-2</v>
      </c>
      <c r="AP25" s="24">
        <f>MIN(F25,M25,T25,AA25)</f>
        <v>6.755039438267231E-2</v>
      </c>
      <c r="AQ25" s="24">
        <f>MIN(G25,N25,U25,AB25)</f>
        <v>0.24647288318176364</v>
      </c>
      <c r="AR25" s="24">
        <f>MIN(H25,O25,V25,AC25)</f>
        <v>0.55456398715896815</v>
      </c>
      <c r="AS25" s="24">
        <f>MIN(I25,P25,W25,AD25)</f>
        <v>1.0355442310952891E-2</v>
      </c>
      <c r="AU25" s="24">
        <f>MAX(F25,M25,T25,AA25)</f>
        <v>0.11179388664065111</v>
      </c>
      <c r="AV25" s="24">
        <f>MAX(G25,N25,U25,AB25)</f>
        <v>0.3123625214452489</v>
      </c>
      <c r="AW25" s="24">
        <f>MAX(H25,O25,V25,AC25)</f>
        <v>0.60973164186112583</v>
      </c>
      <c r="AX25" s="24">
        <f>MAX(I25,P25,W25,AD25)</f>
        <v>8.7169243018617074E-2</v>
      </c>
      <c r="AZ25" s="25">
        <f>AU25/AP25</f>
        <v>1.6549701546868825</v>
      </c>
      <c r="BA25" s="25">
        <f t="shared" ref="BA25" si="28">AV25/AQ25</f>
        <v>1.2673301720371988</v>
      </c>
      <c r="BB25" s="25">
        <f t="shared" ref="BB25" si="29">AW25/AR25</f>
        <v>1.0994793314740499</v>
      </c>
      <c r="BC25" s="25">
        <f t="shared" ref="BC25" si="30">AX25/AS25</f>
        <v>8.4177228167664708</v>
      </c>
      <c r="BE25" s="35"/>
      <c r="BF25" s="1"/>
      <c r="BG25" s="1"/>
      <c r="BH25" s="1"/>
      <c r="BI25" s="1"/>
      <c r="BJ25" s="33"/>
      <c r="BK25" s="33"/>
      <c r="BL25" s="33"/>
      <c r="BM25" s="33"/>
    </row>
    <row r="26" spans="1:65" x14ac:dyDescent="0.25">
      <c r="A26" s="86"/>
      <c r="B26" s="86"/>
      <c r="C26" s="19" t="s">
        <v>8</v>
      </c>
      <c r="D26" s="36">
        <f>1036</f>
        <v>1036</v>
      </c>
      <c r="E26" s="36">
        <f>SUM(F26:I26)*$BE$32</f>
        <v>417.38362015000001</v>
      </c>
      <c r="F26" s="36">
        <f>F$4/J$4</f>
        <v>27.032049999999998</v>
      </c>
      <c r="G26" s="36">
        <f>$BJ$9</f>
        <v>125</v>
      </c>
      <c r="H26" s="36">
        <f>BF17</f>
        <v>244</v>
      </c>
      <c r="I26" s="36">
        <f>D26*I$4</f>
        <v>4.1440000000000001</v>
      </c>
      <c r="J26" s="36">
        <f>ROUNDUP(D26*2.14%,1)</f>
        <v>22.200000000000003</v>
      </c>
      <c r="K26" s="36">
        <f>1326</f>
        <v>1326</v>
      </c>
      <c r="L26" s="36">
        <f>SUM(M26:P26)*$BE$32</f>
        <v>190.47401589999998</v>
      </c>
      <c r="M26" s="36">
        <f>M$4/Q$4</f>
        <v>13.317299999999999</v>
      </c>
      <c r="N26" s="36">
        <f>$BK$9</f>
        <v>56</v>
      </c>
      <c r="O26" s="36">
        <f>BG17</f>
        <v>108</v>
      </c>
      <c r="P26" s="36">
        <f>K26*P$4</f>
        <v>5.3040000000000003</v>
      </c>
      <c r="Q26" s="36">
        <f>ROUNDUP(K26*2.14%,1)</f>
        <v>28.400000000000002</v>
      </c>
      <c r="R26" s="36">
        <f>1018</f>
        <v>1018</v>
      </c>
      <c r="S26" s="36">
        <f>SUM(T26:W26)*$BE$32</f>
        <v>83.690685049999999</v>
      </c>
      <c r="T26" s="36">
        <f>T$4/X$4</f>
        <v>8.1683500000000002</v>
      </c>
      <c r="U26" s="36">
        <f>$BL$9</f>
        <v>22</v>
      </c>
      <c r="V26" s="36">
        <f>BH17</f>
        <v>46</v>
      </c>
      <c r="W26" s="36">
        <f>R26*W$4</f>
        <v>4.0720000000000001</v>
      </c>
      <c r="X26" s="36">
        <f>ROUNDUP(R26*2.14%,1)</f>
        <v>21.8</v>
      </c>
      <c r="Y26" s="36">
        <f>1061</f>
        <v>1061</v>
      </c>
      <c r="Z26" s="36">
        <f>SUM(AA26:AD26)*$BE$32</f>
        <v>50.780434092499995</v>
      </c>
      <c r="AA26" s="36">
        <f>AA$4/AE$4</f>
        <v>5.4428974999999999</v>
      </c>
      <c r="AB26" s="36">
        <f>$BM$9</f>
        <v>12</v>
      </c>
      <c r="AC26" s="36">
        <f>BI17</f>
        <v>27</v>
      </c>
      <c r="AD26" s="36">
        <f>Y26*AD$4</f>
        <v>4.2439999999999998</v>
      </c>
      <c r="AE26" s="36">
        <f>ROUNDUP(Y26*2.14%,1)</f>
        <v>22.8</v>
      </c>
      <c r="AF26" s="19" t="s">
        <v>8</v>
      </c>
      <c r="AG26" s="36">
        <f>13570*1.1182*BE$32</f>
        <v>15826.454882000002</v>
      </c>
      <c r="AH26" s="40">
        <f>ROUNDUP(AG26*2.14%,1)</f>
        <v>338.70000000000005</v>
      </c>
      <c r="AI26" s="13"/>
      <c r="BE26" s="35" t="s">
        <v>57</v>
      </c>
      <c r="BF26" s="1">
        <v>282</v>
      </c>
      <c r="BG26" s="1">
        <v>140</v>
      </c>
      <c r="BH26" s="1">
        <v>71</v>
      </c>
      <c r="BI26" s="1">
        <v>51</v>
      </c>
      <c r="BJ26" s="33"/>
      <c r="BK26" s="33"/>
      <c r="BL26" s="33"/>
      <c r="BM26" s="33"/>
    </row>
    <row r="27" spans="1:65" ht="34.5" x14ac:dyDescent="0.25">
      <c r="A27" s="87" t="s">
        <v>30</v>
      </c>
      <c r="B27" s="86" t="s">
        <v>24</v>
      </c>
      <c r="C27" s="19" t="s">
        <v>70</v>
      </c>
      <c r="D27" s="62">
        <f>SUM(D29,E29,J29)</f>
        <v>1852.2328281499999</v>
      </c>
      <c r="E27" s="62"/>
      <c r="F27" s="62"/>
      <c r="G27" s="62"/>
      <c r="H27" s="62"/>
      <c r="I27" s="62"/>
      <c r="J27" s="62"/>
      <c r="K27" s="62">
        <f>SUM(K29,L29,Q29)</f>
        <v>1291.22939574</v>
      </c>
      <c r="L27" s="62"/>
      <c r="M27" s="62"/>
      <c r="N27" s="62"/>
      <c r="O27" s="62"/>
      <c r="P27" s="62"/>
      <c r="Q27" s="62"/>
      <c r="R27" s="62">
        <f>SUM(R29,S29,X29)</f>
        <v>1207.82106905</v>
      </c>
      <c r="S27" s="62"/>
      <c r="T27" s="62"/>
      <c r="U27" s="62"/>
      <c r="V27" s="62"/>
      <c r="W27" s="62"/>
      <c r="X27" s="62"/>
      <c r="Y27" s="62">
        <f>SUM(Y29,Z29,AE29)</f>
        <v>1186.1491100925</v>
      </c>
      <c r="Z27" s="62"/>
      <c r="AA27" s="62"/>
      <c r="AB27" s="62"/>
      <c r="AC27" s="62"/>
      <c r="AD27" s="62"/>
      <c r="AE27" s="62"/>
      <c r="AF27" s="19" t="s">
        <v>19</v>
      </c>
      <c r="AG27" s="62">
        <f>AG29+AH29</f>
        <v>8188.6265924000008</v>
      </c>
      <c r="AH27" s="62"/>
      <c r="AI27" s="12"/>
      <c r="BE27" s="35" t="s">
        <v>58</v>
      </c>
      <c r="BF27" s="1"/>
      <c r="BG27" s="1">
        <v>140</v>
      </c>
      <c r="BH27" s="1">
        <v>71</v>
      </c>
      <c r="BI27" s="1">
        <v>51</v>
      </c>
      <c r="BJ27" s="33"/>
      <c r="BK27" s="33"/>
      <c r="BL27" s="33"/>
      <c r="BM27" s="33"/>
    </row>
    <row r="28" spans="1:65" ht="15.75" hidden="1" customHeight="1" x14ac:dyDescent="0.25">
      <c r="A28" s="87"/>
      <c r="B28" s="86"/>
      <c r="C28" s="19"/>
      <c r="D28" s="36"/>
      <c r="E28" s="36"/>
      <c r="F28" s="37">
        <f>F29*$BE$32/E29</f>
        <v>7.5968564383112752E-2</v>
      </c>
      <c r="G28" s="37">
        <f>G29*$BE$32/E29</f>
        <v>0.35128932315118888</v>
      </c>
      <c r="H28" s="37">
        <f>H29*$BE$32/E29</f>
        <v>0.55644228787148309</v>
      </c>
      <c r="I28" s="37">
        <f>I29*$BE$32/E29</f>
        <v>1.6299824594215161E-2</v>
      </c>
      <c r="J28" s="36"/>
      <c r="K28" s="36"/>
      <c r="L28" s="36"/>
      <c r="M28" s="37">
        <f>M29*$BE$32/L29</f>
        <v>7.5814582783253065E-2</v>
      </c>
      <c r="N28" s="37">
        <f>N29*$BE$32/L29</f>
        <v>0.31880461023346862</v>
      </c>
      <c r="O28" s="37">
        <f>O29*$BE$32/L29</f>
        <v>0.5806798257823893</v>
      </c>
      <c r="P28" s="37">
        <f>P29*$BE$32/L29</f>
        <v>2.4700981200889153E-2</v>
      </c>
      <c r="Q28" s="36"/>
      <c r="R28" s="36"/>
      <c r="S28" s="36"/>
      <c r="T28" s="37">
        <f>T29*$BE$32/S29</f>
        <v>9.0229745709493214E-2</v>
      </c>
      <c r="U28" s="37">
        <f>U29*$BE$32/S29</f>
        <v>0.24301779497803724</v>
      </c>
      <c r="V28" s="37">
        <f>V29*$BE$32/S29</f>
        <v>0.61859075085318571</v>
      </c>
      <c r="W28" s="37">
        <f>W29*$BE$32/S29</f>
        <v>4.8161708459283754E-2</v>
      </c>
      <c r="X28" s="36"/>
      <c r="Y28" s="36"/>
      <c r="Z28" s="36"/>
      <c r="AA28" s="37">
        <f>AA29*$BE$32/Z29</f>
        <v>8.269505729718428E-2</v>
      </c>
      <c r="AB28" s="37">
        <f>AB29*$BE$32/Z29</f>
        <v>0.18231845952752398</v>
      </c>
      <c r="AC28" s="37">
        <f>AC29*$BE$32/Z29</f>
        <v>0.6685010182675879</v>
      </c>
      <c r="AD28" s="37">
        <f>AD29*$BE$32/Z29</f>
        <v>6.6485464907703754E-2</v>
      </c>
      <c r="AE28" s="36"/>
      <c r="AF28" s="19"/>
      <c r="AG28" s="36"/>
      <c r="AH28" s="36"/>
      <c r="AI28" s="12"/>
      <c r="AK28" s="24">
        <f>AVERAGE(F28,M28,T28,AA28)</f>
        <v>8.1176987543260831E-2</v>
      </c>
      <c r="AL28" s="24">
        <f t="shared" ref="AL28" si="31">AVERAGE(G28,N28,U28,AB28)</f>
        <v>0.27385754697255466</v>
      </c>
      <c r="AM28" s="24">
        <f t="shared" ref="AM28" si="32">AVERAGE(H28,O28,V28,AC28)</f>
        <v>0.60605347069366144</v>
      </c>
      <c r="AN28" s="24">
        <f t="shared" ref="AN28" si="33">AVERAGE(I28,P28,W28,AD28)</f>
        <v>3.8911994790522958E-2</v>
      </c>
      <c r="AP28" s="24">
        <f>MIN(F28,M28,T28,AA28)</f>
        <v>7.5814582783253065E-2</v>
      </c>
      <c r="AQ28" s="24">
        <f>MIN(G28,N28,U28,AB28)</f>
        <v>0.18231845952752398</v>
      </c>
      <c r="AR28" s="24">
        <f>MIN(H28,O28,V28,AC28)</f>
        <v>0.55644228787148309</v>
      </c>
      <c r="AS28" s="24">
        <f>MIN(I28,P28,W28,AD28)</f>
        <v>1.6299824594215161E-2</v>
      </c>
      <c r="AU28" s="24">
        <f>MAX(F28,M28,T28,AA28)</f>
        <v>9.0229745709493214E-2</v>
      </c>
      <c r="AV28" s="24">
        <f>MAX(G28,N28,U28,AB28)</f>
        <v>0.35128932315118888</v>
      </c>
      <c r="AW28" s="24">
        <f>MAX(H28,O28,V28,AC28)</f>
        <v>0.6685010182675879</v>
      </c>
      <c r="AX28" s="24">
        <f>MAX(I28,P28,W28,AD28)</f>
        <v>6.6485464907703754E-2</v>
      </c>
      <c r="AZ28" s="25">
        <f>AU28/AP28</f>
        <v>1.1901370738588877</v>
      </c>
      <c r="BA28" s="25">
        <f t="shared" ref="BA28" si="34">AV28/AQ28</f>
        <v>1.9267896627777066</v>
      </c>
      <c r="BB28" s="25">
        <f t="shared" ref="BB28" si="35">AW28/AR28</f>
        <v>1.2013842816022389</v>
      </c>
      <c r="BC28" s="25">
        <f t="shared" ref="BC28" si="36">AX28/AS28</f>
        <v>4.0789067712605673</v>
      </c>
      <c r="BE28" s="44"/>
      <c r="BF28" s="9"/>
      <c r="BG28" s="9"/>
      <c r="BH28" s="9"/>
      <c r="BI28" s="9"/>
      <c r="BJ28" s="33"/>
      <c r="BK28" s="33"/>
      <c r="BL28" s="33"/>
      <c r="BM28" s="33"/>
    </row>
    <row r="29" spans="1:65" x14ac:dyDescent="0.25">
      <c r="A29" s="87"/>
      <c r="B29" s="86"/>
      <c r="C29" s="19" t="s">
        <v>8</v>
      </c>
      <c r="D29" s="6">
        <f>1450</f>
        <v>1450</v>
      </c>
      <c r="E29" s="36">
        <f>SUM(F29:I29)*$BE$32</f>
        <v>371.13282815000002</v>
      </c>
      <c r="F29" s="36">
        <f>F$4/J$4</f>
        <v>27.032049999999998</v>
      </c>
      <c r="G29" s="36">
        <f>$BJ$9</f>
        <v>125</v>
      </c>
      <c r="H29" s="36">
        <f>BF18</f>
        <v>198</v>
      </c>
      <c r="I29" s="36">
        <f>D29*I$4</f>
        <v>5.8</v>
      </c>
      <c r="J29" s="6">
        <f>ROUNDUP(D29*2.14%,1)</f>
        <v>31.1</v>
      </c>
      <c r="K29" s="6">
        <f>1040*BE$32</f>
        <v>1084.72</v>
      </c>
      <c r="L29" s="36">
        <f>SUM(M29:P29)*$BE$32</f>
        <v>183.20939573999996</v>
      </c>
      <c r="M29" s="36">
        <f>M$4/Q$4</f>
        <v>13.317299999999999</v>
      </c>
      <c r="N29" s="36">
        <f>$BK$9</f>
        <v>56</v>
      </c>
      <c r="O29" s="36">
        <f>BG18</f>
        <v>102</v>
      </c>
      <c r="P29" s="36">
        <f>K29*P$4</f>
        <v>4.3388800000000005</v>
      </c>
      <c r="Q29" s="6">
        <f>ROUNDUP(K29*2.14%,1)</f>
        <v>23.3</v>
      </c>
      <c r="R29" s="6">
        <f>1090</f>
        <v>1090</v>
      </c>
      <c r="S29" s="36">
        <f>SUM(T29:W29)*$BE$32</f>
        <v>94.42106905</v>
      </c>
      <c r="T29" s="36">
        <f>T$4/X$4</f>
        <v>8.1683500000000002</v>
      </c>
      <c r="U29" s="36">
        <f>$BL$9</f>
        <v>22</v>
      </c>
      <c r="V29" s="36">
        <f>BH18</f>
        <v>56</v>
      </c>
      <c r="W29" s="36">
        <f>R29*W$4</f>
        <v>4.3600000000000003</v>
      </c>
      <c r="X29" s="6">
        <f>ROUNDUP(R29*2.14%,1)</f>
        <v>23.400000000000002</v>
      </c>
      <c r="Y29" s="6">
        <f>1094</f>
        <v>1094</v>
      </c>
      <c r="Z29" s="36">
        <f>SUM(AA29:AD29)*$BE$32</f>
        <v>68.649110092499996</v>
      </c>
      <c r="AA29" s="36">
        <f>AA$4/AE$4</f>
        <v>5.4428974999999999</v>
      </c>
      <c r="AB29" s="36">
        <f>$BM$9</f>
        <v>12</v>
      </c>
      <c r="AC29" s="36">
        <f>BI18</f>
        <v>44</v>
      </c>
      <c r="AD29" s="36">
        <f>Y29*AD$4</f>
        <v>4.3760000000000003</v>
      </c>
      <c r="AE29" s="6">
        <f>ROUNDUP(Y29*2.14%,1)</f>
        <v>23.5</v>
      </c>
      <c r="AF29" s="19" t="s">
        <v>8</v>
      </c>
      <c r="AG29" s="40">
        <f>6874*1.1182*BE$32</f>
        <v>8017.0265924000005</v>
      </c>
      <c r="AH29" s="40">
        <f>ROUNDUP(AG29*2.14%,1)</f>
        <v>171.6</v>
      </c>
      <c r="AI29" s="13"/>
    </row>
    <row r="30" spans="1:65" ht="34.5" x14ac:dyDescent="0.25">
      <c r="A30" s="87"/>
      <c r="B30" s="86" t="s">
        <v>25</v>
      </c>
      <c r="C30" s="19" t="s">
        <v>70</v>
      </c>
      <c r="D30" s="62">
        <f>SUM(D32,E32,J32)</f>
        <v>3668.4814801500002</v>
      </c>
      <c r="E30" s="62"/>
      <c r="F30" s="62"/>
      <c r="G30" s="62"/>
      <c r="H30" s="62"/>
      <c r="I30" s="62"/>
      <c r="J30" s="62"/>
      <c r="K30" s="62">
        <f>SUM(K32,L32,Q32)</f>
        <v>3376.7389958999997</v>
      </c>
      <c r="L30" s="62"/>
      <c r="M30" s="62"/>
      <c r="N30" s="62"/>
      <c r="O30" s="62"/>
      <c r="P30" s="62"/>
      <c r="Q30" s="62"/>
      <c r="R30" s="62">
        <f>SUM(R32,S32,X32)</f>
        <v>2241.0482850500002</v>
      </c>
      <c r="S30" s="62"/>
      <c r="T30" s="62"/>
      <c r="U30" s="62"/>
      <c r="V30" s="62"/>
      <c r="W30" s="62"/>
      <c r="X30" s="62"/>
      <c r="Y30" s="62">
        <f>SUM(Y32,Z32,AE32)</f>
        <v>1219.1097220925001</v>
      </c>
      <c r="Z30" s="62"/>
      <c r="AA30" s="62"/>
      <c r="AB30" s="62"/>
      <c r="AC30" s="62"/>
      <c r="AD30" s="62"/>
      <c r="AE30" s="62"/>
      <c r="AF30" s="19" t="s">
        <v>19</v>
      </c>
      <c r="AG30" s="62">
        <f>AG32+AH32</f>
        <v>5977.7060868000008</v>
      </c>
      <c r="AH30" s="62"/>
      <c r="AI30" s="12"/>
      <c r="BE30" s="22" t="s">
        <v>76</v>
      </c>
    </row>
    <row r="31" spans="1:65" ht="15.75" hidden="1" customHeight="1" x14ac:dyDescent="0.25">
      <c r="A31" s="87"/>
      <c r="B31" s="86"/>
      <c r="C31" s="19"/>
      <c r="D31" s="36"/>
      <c r="E31" s="36"/>
      <c r="F31" s="37">
        <f>F32*$BE$32/E32</f>
        <v>5.0133991152197785E-2</v>
      </c>
      <c r="G31" s="37">
        <f>G32*$BE$32/E32</f>
        <v>0.23182662410082566</v>
      </c>
      <c r="H31" s="37">
        <f>H32*$BE$32/E32</f>
        <v>0.69547987230247699</v>
      </c>
      <c r="I31" s="37">
        <f>I32*$BE$32/E32</f>
        <v>2.2559512444499545E-2</v>
      </c>
      <c r="J31" s="36"/>
      <c r="K31" s="36"/>
      <c r="L31" s="36"/>
      <c r="M31" s="37">
        <f>M32*$BE$32/L32</f>
        <v>5.1322773548614108E-2</v>
      </c>
      <c r="N31" s="37">
        <f>N32*$BE$32/L32</f>
        <v>0.21581516664206632</v>
      </c>
      <c r="O31" s="37">
        <f>O32*$BE$32/L32</f>
        <v>0.68598392254085372</v>
      </c>
      <c r="P31" s="37">
        <f>P32*$BE$32/L32</f>
        <v>4.6878137268465986E-2</v>
      </c>
      <c r="Q31" s="36"/>
      <c r="R31" s="36"/>
      <c r="S31" s="36"/>
      <c r="T31" s="37">
        <f>T32*$BE$32/S32</f>
        <v>6.6172446853885306E-2</v>
      </c>
      <c r="U31" s="37">
        <f>U32*$BE$32/S32</f>
        <v>0.17822373316342671</v>
      </c>
      <c r="V31" s="37">
        <f>V32*$BE$32/S32</f>
        <v>0.68859169631323947</v>
      </c>
      <c r="W31" s="37">
        <f>W32*$BE$32/S32</f>
        <v>6.7012123669448448E-2</v>
      </c>
      <c r="X31" s="36"/>
      <c r="Y31" s="36"/>
      <c r="Z31" s="36"/>
      <c r="AA31" s="37">
        <f>AA32*$BE$32/Z32</f>
        <v>7.0776234406512442E-2</v>
      </c>
      <c r="AB31" s="37">
        <f>AB32*$BE$32/Z32</f>
        <v>0.15604093460847818</v>
      </c>
      <c r="AC31" s="37">
        <f>AC32*$BE$32/Z32</f>
        <v>0.71518761695552502</v>
      </c>
      <c r="AD31" s="37">
        <f>AD32*$BE$32/Z32</f>
        <v>5.799521402948439E-2</v>
      </c>
      <c r="AE31" s="36"/>
      <c r="AF31" s="19"/>
      <c r="AG31" s="36"/>
      <c r="AH31" s="36"/>
      <c r="AI31" s="12"/>
      <c r="AK31" s="24">
        <f>AVERAGE(F31,M31,T31,AA31)</f>
        <v>5.9601361490302401E-2</v>
      </c>
      <c r="AL31" s="24">
        <f t="shared" ref="AL31" si="37">AVERAGE(G31,N31,U31,AB31)</f>
        <v>0.1954766146286992</v>
      </c>
      <c r="AM31" s="24">
        <f t="shared" ref="AM31" si="38">AVERAGE(H31,O31,V31,AC31)</f>
        <v>0.69631077702802391</v>
      </c>
      <c r="AN31" s="24">
        <f t="shared" ref="AN31" si="39">AVERAGE(I31,P31,W31,AD31)</f>
        <v>4.8611246852974591E-2</v>
      </c>
      <c r="AP31" s="24">
        <f>MIN(F31,M31,T31,AA31)</f>
        <v>5.0133991152197785E-2</v>
      </c>
      <c r="AQ31" s="24">
        <f>MIN(G31,N31,U31,AB31)</f>
        <v>0.15604093460847818</v>
      </c>
      <c r="AR31" s="24">
        <f>MIN(H31,O31,V31,AC31)</f>
        <v>0.68598392254085372</v>
      </c>
      <c r="AS31" s="24">
        <f>MIN(I31,P31,W31,AD31)</f>
        <v>2.2559512444499545E-2</v>
      </c>
      <c r="AU31" s="24">
        <f>MAX(F31,M31,T31,AA31)</f>
        <v>7.0776234406512442E-2</v>
      </c>
      <c r="AV31" s="24">
        <f>MAX(G31,N31,U31,AB31)</f>
        <v>0.23182662410082566</v>
      </c>
      <c r="AW31" s="24">
        <f>MAX(H31,O31,V31,AC31)</f>
        <v>0.71518761695552502</v>
      </c>
      <c r="AX31" s="24">
        <f>MAX(I31,P31,W31,AD31)</f>
        <v>6.7012123669448448E-2</v>
      </c>
      <c r="AZ31" s="25">
        <f>AU31/AP31</f>
        <v>1.4117414708046785</v>
      </c>
      <c r="BA31" s="25">
        <f t="shared" ref="BA31" si="40">AV31/AQ31</f>
        <v>1.4856782592497355</v>
      </c>
      <c r="BB31" s="25">
        <f t="shared" ref="BB31" si="41">AW31/AR31</f>
        <v>1.0425719808512453</v>
      </c>
      <c r="BC31" s="25">
        <f t="shared" ref="BC31" si="42">AX31/AS31</f>
        <v>2.9704597488226003</v>
      </c>
    </row>
    <row r="32" spans="1:65" x14ac:dyDescent="0.25">
      <c r="A32" s="87"/>
      <c r="B32" s="86"/>
      <c r="C32" s="19" t="s">
        <v>8</v>
      </c>
      <c r="D32" s="6">
        <f>3041</f>
        <v>3041</v>
      </c>
      <c r="E32" s="36">
        <f>SUM(F32:I32)*$BE$32</f>
        <v>562.38148015000002</v>
      </c>
      <c r="F32" s="36">
        <f>F$4/J$4</f>
        <v>27.032049999999998</v>
      </c>
      <c r="G32" s="36">
        <f>$BJ$9</f>
        <v>125</v>
      </c>
      <c r="H32" s="36">
        <f>BF20</f>
        <v>375</v>
      </c>
      <c r="I32" s="36">
        <f>D32*I$4</f>
        <v>12.164</v>
      </c>
      <c r="J32" s="6">
        <f>ROUNDUP(D32*2.14%,1)</f>
        <v>65.099999999999994</v>
      </c>
      <c r="K32" s="6">
        <f>3041</f>
        <v>3041</v>
      </c>
      <c r="L32" s="36">
        <f>SUM(M32:P32)*$BE$32</f>
        <v>270.63899589999994</v>
      </c>
      <c r="M32" s="36">
        <f>M$4/Q$4</f>
        <v>13.317299999999999</v>
      </c>
      <c r="N32" s="36">
        <f>$BK$9</f>
        <v>56</v>
      </c>
      <c r="O32" s="36">
        <f>BG20</f>
        <v>178</v>
      </c>
      <c r="P32" s="36">
        <f>K32*P$4</f>
        <v>12.164</v>
      </c>
      <c r="Q32" s="6">
        <f>ROUNDUP(K32*2.14%,1)</f>
        <v>65.099999999999994</v>
      </c>
      <c r="R32" s="6">
        <f>2068</f>
        <v>2068</v>
      </c>
      <c r="S32" s="36">
        <f>SUM(T32:W32)*$BE$32</f>
        <v>128.74828504999999</v>
      </c>
      <c r="T32" s="36">
        <f>T$4/X$4</f>
        <v>8.1683500000000002</v>
      </c>
      <c r="U32" s="36">
        <f>$BL$9</f>
        <v>22</v>
      </c>
      <c r="V32" s="36">
        <f>BH20</f>
        <v>85</v>
      </c>
      <c r="W32" s="36">
        <f>R32*W$4</f>
        <v>8.2720000000000002</v>
      </c>
      <c r="X32" s="6">
        <f>ROUNDUP(R32*2.14%,1)</f>
        <v>44.300000000000004</v>
      </c>
      <c r="Y32" s="6">
        <f>1115</f>
        <v>1115</v>
      </c>
      <c r="Z32" s="36">
        <f>SUM(AA32:AD32)*$BE$32</f>
        <v>80.209722092499987</v>
      </c>
      <c r="AA32" s="36">
        <f>AA$4/AE$4</f>
        <v>5.4428974999999999</v>
      </c>
      <c r="AB32" s="36">
        <f>$BM$9</f>
        <v>12</v>
      </c>
      <c r="AC32" s="36">
        <f>BI20</f>
        <v>55</v>
      </c>
      <c r="AD32" s="36">
        <f>Y32*AD$4</f>
        <v>4.46</v>
      </c>
      <c r="AE32" s="6">
        <f>ROUNDUP(Y32*2.14%,1)</f>
        <v>23.900000000000002</v>
      </c>
      <c r="AF32" s="19" t="s">
        <v>8</v>
      </c>
      <c r="AG32" s="40">
        <f>5018*1.1182*BE$32</f>
        <v>5852.4060868000006</v>
      </c>
      <c r="AH32" s="40">
        <f>ROUNDUP(AG32*2.14%,1)</f>
        <v>125.3</v>
      </c>
      <c r="AI32" s="13"/>
      <c r="BE32" s="45">
        <v>1.0429999999999999</v>
      </c>
      <c r="BF32" s="46"/>
      <c r="BG32" s="46"/>
      <c r="BH32" s="46"/>
      <c r="BI32" s="46"/>
    </row>
    <row r="33" spans="1:61" ht="35.1" customHeight="1" x14ac:dyDescent="0.25">
      <c r="A33" s="64" t="s">
        <v>63</v>
      </c>
      <c r="B33" s="63" t="s">
        <v>77</v>
      </c>
      <c r="C33" s="19" t="s">
        <v>81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8">
        <f>R34+100000+X34</f>
        <v>2816924</v>
      </c>
      <c r="S33" s="68"/>
      <c r="T33" s="68"/>
      <c r="U33" s="68"/>
      <c r="V33" s="68"/>
      <c r="W33" s="68"/>
      <c r="X33" s="68"/>
      <c r="Y33" s="68">
        <f>Y34+100000+AE34</f>
        <v>2816924</v>
      </c>
      <c r="Z33" s="68"/>
      <c r="AA33" s="68"/>
      <c r="AB33" s="68"/>
      <c r="AC33" s="68"/>
      <c r="AD33" s="68"/>
      <c r="AE33" s="68"/>
      <c r="AF33" s="47" t="s">
        <v>13</v>
      </c>
      <c r="AG33" s="68">
        <f>AG34+AH34</f>
        <v>3952337.9999999995</v>
      </c>
      <c r="AH33" s="68"/>
      <c r="AI33" s="17"/>
      <c r="BE33" s="46"/>
      <c r="BF33" s="46"/>
      <c r="BG33" s="46"/>
      <c r="BH33" s="46"/>
      <c r="BI33" s="46"/>
    </row>
    <row r="34" spans="1:61" ht="15.75" customHeight="1" x14ac:dyDescent="0.25">
      <c r="A34" s="65"/>
      <c r="B34" s="63"/>
      <c r="C34" s="5" t="s">
        <v>16</v>
      </c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48">
        <f>(2700000-40000)</f>
        <v>2660000</v>
      </c>
      <c r="S34" s="49" t="s">
        <v>80</v>
      </c>
      <c r="T34" s="48">
        <f>ROUNDUP(R34*2.14%,1)</f>
        <v>56924</v>
      </c>
      <c r="U34" s="48">
        <f>(2700000-40000)</f>
        <v>2660000</v>
      </c>
      <c r="V34" s="48" t="s">
        <v>79</v>
      </c>
      <c r="W34" s="48">
        <f>ROUNDUP(U34*2.14%,1)</f>
        <v>56924</v>
      </c>
      <c r="X34" s="48">
        <f>ROUNDUP(R34*2.14%,1)</f>
        <v>56924</v>
      </c>
      <c r="Y34" s="48">
        <f>(2700000-40000)</f>
        <v>2660000</v>
      </c>
      <c r="Z34" s="49" t="s">
        <v>80</v>
      </c>
      <c r="AA34" s="48">
        <f>ROUNDUP(Y34*2.14%,1)</f>
        <v>56924</v>
      </c>
      <c r="AB34" s="48">
        <f>$BM$9</f>
        <v>12</v>
      </c>
      <c r="AC34" s="48">
        <v>43</v>
      </c>
      <c r="AD34" s="48">
        <f>Y34*AD$4</f>
        <v>10640</v>
      </c>
      <c r="AE34" s="48">
        <f>ROUNDUP(Y34*2.14%,1)</f>
        <v>56924</v>
      </c>
      <c r="AF34" s="47" t="s">
        <v>8</v>
      </c>
      <c r="AG34" s="48">
        <f>(3750000-40000)*BE$32</f>
        <v>3869529.9999999995</v>
      </c>
      <c r="AH34" s="50">
        <f>ROUNDUP(AG34*2.14%,1)</f>
        <v>82808</v>
      </c>
      <c r="AI34" s="18"/>
      <c r="BE34" s="46"/>
      <c r="BF34" s="46"/>
      <c r="BG34" s="46"/>
      <c r="BH34" s="46"/>
      <c r="BI34" s="46"/>
    </row>
    <row r="35" spans="1:61" ht="35.1" customHeight="1" x14ac:dyDescent="0.25">
      <c r="A35" s="65"/>
      <c r="B35" s="63" t="s">
        <v>78</v>
      </c>
      <c r="C35" s="19" t="s">
        <v>81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47" t="s">
        <v>13</v>
      </c>
      <c r="AG35" s="68">
        <f>AG36+AH36</f>
        <v>153210</v>
      </c>
      <c r="AH35" s="68"/>
      <c r="AI35" s="17"/>
      <c r="BE35" s="46"/>
      <c r="BF35" s="46"/>
      <c r="BG35" s="46"/>
      <c r="BH35" s="46"/>
      <c r="BI35" s="46"/>
    </row>
    <row r="36" spans="1:61" ht="15.75" customHeight="1" x14ac:dyDescent="0.25">
      <c r="A36" s="66"/>
      <c r="B36" s="63"/>
      <c r="C36" s="5" t="s">
        <v>16</v>
      </c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48">
        <v>150000</v>
      </c>
      <c r="S36" s="48"/>
      <c r="T36" s="48">
        <f>ROUNDUP(R36*2.14%,1)</f>
        <v>3210</v>
      </c>
      <c r="U36" s="48"/>
      <c r="V36" s="48"/>
      <c r="W36" s="48"/>
      <c r="X36" s="48">
        <f>ROUNDUP(R36*2.14%,1)</f>
        <v>3210</v>
      </c>
      <c r="Y36" s="48">
        <v>150000</v>
      </c>
      <c r="Z36" s="48"/>
      <c r="AA36" s="48">
        <f>ROUNDUP(Y36*2.14%,1)</f>
        <v>3210</v>
      </c>
      <c r="AB36" s="48"/>
      <c r="AC36" s="48"/>
      <c r="AD36" s="48"/>
      <c r="AE36" s="48">
        <f>ROUNDUP(Y36*2.14%,1)</f>
        <v>3210</v>
      </c>
      <c r="AF36" s="47" t="s">
        <v>8</v>
      </c>
      <c r="AG36" s="48">
        <v>150000</v>
      </c>
      <c r="AH36" s="50">
        <f>ROUNDUP(AG36*2.14%,1)</f>
        <v>3210</v>
      </c>
      <c r="AI36" s="18"/>
      <c r="BE36" s="46"/>
      <c r="BF36" s="46"/>
      <c r="BG36" s="46"/>
      <c r="BH36" s="46"/>
      <c r="BI36" s="46"/>
    </row>
    <row r="37" spans="1:61" s="46" customFormat="1" ht="35.25" customHeight="1" x14ac:dyDescent="0.25">
      <c r="A37" s="63" t="s">
        <v>47</v>
      </c>
      <c r="B37" s="63"/>
      <c r="C37" s="19" t="s">
        <v>70</v>
      </c>
      <c r="D37" s="62">
        <f>SUM(D39,E39,J39)</f>
        <v>971.98573414999998</v>
      </c>
      <c r="E37" s="62"/>
      <c r="F37" s="62"/>
      <c r="G37" s="62"/>
      <c r="H37" s="62"/>
      <c r="I37" s="62"/>
      <c r="J37" s="62"/>
      <c r="K37" s="62">
        <f>SUM(K39,L39,Q39)</f>
        <v>844.09986443399987</v>
      </c>
      <c r="L37" s="62"/>
      <c r="M37" s="62"/>
      <c r="N37" s="62"/>
      <c r="O37" s="62"/>
      <c r="P37" s="62"/>
      <c r="Q37" s="62"/>
      <c r="R37" s="62">
        <f>SUM(R39,S39,X39)</f>
        <v>580.05718105000005</v>
      </c>
      <c r="S37" s="62"/>
      <c r="T37" s="62"/>
      <c r="U37" s="62"/>
      <c r="V37" s="62"/>
      <c r="W37" s="62"/>
      <c r="X37" s="62"/>
      <c r="Y37" s="62">
        <f>SUM(Y39,Z39,AE39)</f>
        <v>519.90642809250005</v>
      </c>
      <c r="Z37" s="62"/>
      <c r="AA37" s="62"/>
      <c r="AB37" s="62"/>
      <c r="AC37" s="62"/>
      <c r="AD37" s="62"/>
      <c r="AE37" s="62"/>
      <c r="AF37" s="5" t="s">
        <v>50</v>
      </c>
      <c r="AG37" s="67">
        <f>AG39+AH39</f>
        <v>5423.2015364999997</v>
      </c>
      <c r="AH37" s="67"/>
      <c r="AI37" s="14"/>
      <c r="AJ37" s="22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5"/>
      <c r="AZ37" s="25"/>
      <c r="BA37" s="25"/>
      <c r="BB37" s="25"/>
      <c r="BC37" s="25"/>
      <c r="BD37" s="25"/>
      <c r="BE37" s="22"/>
      <c r="BF37" s="22"/>
      <c r="BG37" s="22"/>
      <c r="BH37" s="22"/>
      <c r="BI37" s="22"/>
    </row>
    <row r="38" spans="1:61" s="46" customFormat="1" ht="15.75" hidden="1" customHeight="1" x14ac:dyDescent="0.25">
      <c r="A38" s="63"/>
      <c r="B38" s="63"/>
      <c r="C38" s="5"/>
      <c r="D38" s="36"/>
      <c r="E38" s="36"/>
      <c r="F38" s="37">
        <f>F39*$BE$32/E39</f>
        <v>8.7320141982184879E-2</v>
      </c>
      <c r="G38" s="37">
        <f>G39*$BE$32/E39</f>
        <v>0.40378061404048565</v>
      </c>
      <c r="H38" s="37">
        <f>H39*$BE$32/E39</f>
        <v>0.50068796141020222</v>
      </c>
      <c r="I38" s="37">
        <f>I39*$BE$32/E39</f>
        <v>8.2112825671273159E-3</v>
      </c>
      <c r="J38" s="36"/>
      <c r="K38" s="36"/>
      <c r="L38" s="36"/>
      <c r="M38" s="37">
        <f>M39*$BE$32/L39</f>
        <v>8.6479546642050251E-2</v>
      </c>
      <c r="N38" s="37">
        <f>N39*$BE$32/L39</f>
        <v>0.36365138668910468</v>
      </c>
      <c r="O38" s="37">
        <f>O39*$BE$32/L39</f>
        <v>0.53248953050904624</v>
      </c>
      <c r="P38" s="37">
        <f>P39*$BE$32/L39</f>
        <v>1.7379536159799019E-2</v>
      </c>
      <c r="Q38" s="36"/>
      <c r="R38" s="36"/>
      <c r="S38" s="36"/>
      <c r="T38" s="37">
        <f>T39*$BE$32/S39</f>
        <v>0.10196118326325468</v>
      </c>
      <c r="U38" s="37">
        <f>U39*$BE$32/S39</f>
        <v>0.27461433848838535</v>
      </c>
      <c r="V38" s="37">
        <f>V39*$BE$32/S39</f>
        <v>0.59915855670193163</v>
      </c>
      <c r="W38" s="37">
        <f>W39*$BE$32/S39</f>
        <v>2.4265921546428235E-2</v>
      </c>
      <c r="X38" s="36"/>
      <c r="Y38" s="36"/>
      <c r="Z38" s="36"/>
      <c r="AA38" s="37">
        <f>AA39*$BE$32/Z39</f>
        <v>9.5080919657511823E-2</v>
      </c>
      <c r="AB38" s="37">
        <f>AB39*$BE$32/Z39</f>
        <v>0.20962567013068717</v>
      </c>
      <c r="AC38" s="37">
        <f>AC39*$BE$32/Z39</f>
        <v>0.66381462208050945</v>
      </c>
      <c r="AD38" s="37">
        <f>AD39*$BE$32/Z39</f>
        <v>3.1478788131291527E-2</v>
      </c>
      <c r="AE38" s="36"/>
      <c r="AF38" s="5"/>
      <c r="AG38" s="6"/>
      <c r="AH38" s="6"/>
      <c r="AI38" s="14"/>
      <c r="AJ38" s="22"/>
      <c r="AK38" s="24">
        <f>AVERAGE(F38,M38,T38,AA38)</f>
        <v>9.2710447886250394E-2</v>
      </c>
      <c r="AL38" s="24">
        <f t="shared" ref="AL38" si="43">AVERAGE(G38,N38,U38,AB38)</f>
        <v>0.31291800233716566</v>
      </c>
      <c r="AM38" s="24">
        <f t="shared" ref="AM38" si="44">AVERAGE(H38,O38,V38,AC38)</f>
        <v>0.57403766767542241</v>
      </c>
      <c r="AN38" s="24">
        <f t="shared" ref="AN38" si="45">AVERAGE(I38,P38,W38,AD38)</f>
        <v>2.0333882101161525E-2</v>
      </c>
      <c r="AO38" s="24"/>
      <c r="AP38" s="24">
        <f>MIN(F38,M38,T38,AA38)</f>
        <v>8.6479546642050251E-2</v>
      </c>
      <c r="AQ38" s="24">
        <f>MIN(G38,N38,U38,AB38)</f>
        <v>0.20962567013068717</v>
      </c>
      <c r="AR38" s="24">
        <f>MIN(H38,O38,V38,AC38)</f>
        <v>0.50068796141020222</v>
      </c>
      <c r="AS38" s="24">
        <f>MIN(I38,P38,W38,AD38)</f>
        <v>8.2112825671273159E-3</v>
      </c>
      <c r="AT38" s="24"/>
      <c r="AU38" s="24">
        <f>MAX(F38,M38,T38,AA38)</f>
        <v>0.10196118326325468</v>
      </c>
      <c r="AV38" s="24">
        <f>MAX(G38,N38,U38,AB38)</f>
        <v>0.40378061404048565</v>
      </c>
      <c r="AW38" s="24">
        <f>MAX(H38,O38,V38,AC38)</f>
        <v>0.66381462208050945</v>
      </c>
      <c r="AX38" s="24">
        <f>MAX(I38,P38,W38,AD38)</f>
        <v>3.1478788131291527E-2</v>
      </c>
      <c r="AY38" s="25"/>
      <c r="AZ38" s="25">
        <f>AU38/AP38</f>
        <v>1.1790207884100603</v>
      </c>
      <c r="BA38" s="25">
        <f t="shared" ref="BA38" si="46">AV38/AQ38</f>
        <v>1.926198321936222</v>
      </c>
      <c r="BB38" s="25">
        <f t="shared" ref="BB38" si="47">AW38/AR38</f>
        <v>1.3258050387527918</v>
      </c>
      <c r="BC38" s="25">
        <f t="shared" ref="BC38" si="48">AX38/AS38</f>
        <v>3.8336018610919944</v>
      </c>
      <c r="BD38" s="25"/>
      <c r="BE38" s="22"/>
      <c r="BF38" s="22"/>
      <c r="BG38" s="22"/>
      <c r="BH38" s="22"/>
      <c r="BI38" s="22"/>
    </row>
    <row r="39" spans="1:61" s="46" customFormat="1" x14ac:dyDescent="0.25">
      <c r="A39" s="63"/>
      <c r="B39" s="63"/>
      <c r="C39" s="5" t="s">
        <v>8</v>
      </c>
      <c r="D39" s="48">
        <f>ROUNDUP(1271/2,1)</f>
        <v>635.5</v>
      </c>
      <c r="E39" s="36">
        <f>SUM(F39:I39)*$BE$32</f>
        <v>322.88573414999996</v>
      </c>
      <c r="F39" s="36">
        <f>F$4/J$4</f>
        <v>27.032049999999998</v>
      </c>
      <c r="G39" s="36">
        <f>$BJ$9</f>
        <v>125</v>
      </c>
      <c r="H39" s="36">
        <f>BF21</f>
        <v>155</v>
      </c>
      <c r="I39" s="36">
        <f>D39*I$4</f>
        <v>2.5420000000000003</v>
      </c>
      <c r="J39" s="48">
        <f>ROUNDUP(D39*2.14%,1)</f>
        <v>13.6</v>
      </c>
      <c r="K39" s="48">
        <f>ROUNDUP(1283/2,1)*BE$32</f>
        <v>669.08449999999993</v>
      </c>
      <c r="L39" s="36">
        <f>SUM(M39:P39)*$BE$32</f>
        <v>160.61536443399996</v>
      </c>
      <c r="M39" s="36">
        <f>M$4/Q$4</f>
        <v>13.317299999999999</v>
      </c>
      <c r="N39" s="36">
        <f>$BK$9</f>
        <v>56</v>
      </c>
      <c r="O39" s="36">
        <f>BG21</f>
        <v>82</v>
      </c>
      <c r="P39" s="36">
        <f>K39*P$4</f>
        <v>2.6763379999999999</v>
      </c>
      <c r="Q39" s="48">
        <f>ROUNDUP(K39*2.14%,1)</f>
        <v>14.4</v>
      </c>
      <c r="R39" s="48">
        <f>ROUNDUP(972/2,1)</f>
        <v>486</v>
      </c>
      <c r="S39" s="36">
        <f>SUM(T39:W39)*$BE$32</f>
        <v>83.557181049999997</v>
      </c>
      <c r="T39" s="36">
        <f>T$4/X$4</f>
        <v>8.1683500000000002</v>
      </c>
      <c r="U39" s="36">
        <f>$BL$9</f>
        <v>22</v>
      </c>
      <c r="V39" s="36">
        <f>BH21</f>
        <v>48</v>
      </c>
      <c r="W39" s="36">
        <f>R39*W$4</f>
        <v>1.944</v>
      </c>
      <c r="X39" s="48">
        <f>ROUNDUP(R39*2.14%,1)</f>
        <v>10.5</v>
      </c>
      <c r="Y39" s="48">
        <f>ROUNDUP(901/2,1)</f>
        <v>450.5</v>
      </c>
      <c r="Z39" s="36">
        <f>SUM(AA39:AD39)*$BE$32</f>
        <v>59.706428092499998</v>
      </c>
      <c r="AA39" s="36">
        <f>AA$4/AE$4</f>
        <v>5.4428974999999999</v>
      </c>
      <c r="AB39" s="36">
        <f>$BM$9</f>
        <v>12</v>
      </c>
      <c r="AC39" s="36">
        <f>BI21</f>
        <v>38</v>
      </c>
      <c r="AD39" s="36">
        <f>Y39*AD$4</f>
        <v>1.802</v>
      </c>
      <c r="AE39" s="48">
        <f>ROUNDUP(Y39*2.14%,1)</f>
        <v>9.6999999999999993</v>
      </c>
      <c r="AF39" s="5" t="s">
        <v>8</v>
      </c>
      <c r="AG39" s="6">
        <f>ROUNDUP(9105/2,1)*1.1182*BE$32</f>
        <v>5309.5015364999999</v>
      </c>
      <c r="AH39" s="40">
        <f>ROUNDUP(AG39*2.14%,1)</f>
        <v>113.69999999999999</v>
      </c>
      <c r="AI39" s="13"/>
      <c r="AJ39" s="22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5"/>
      <c r="AZ39" s="25"/>
      <c r="BA39" s="25"/>
      <c r="BB39" s="25"/>
      <c r="BC39" s="25"/>
      <c r="BD39" s="25"/>
      <c r="BE39" s="22"/>
      <c r="BF39" s="22"/>
      <c r="BG39" s="22"/>
      <c r="BH39" s="22"/>
      <c r="BI39" s="22"/>
    </row>
    <row r="40" spans="1:61" s="46" customFormat="1" ht="35.25" customHeight="1" x14ac:dyDescent="0.25">
      <c r="A40" s="63" t="s">
        <v>48</v>
      </c>
      <c r="B40" s="63"/>
      <c r="C40" s="19" t="s">
        <v>70</v>
      </c>
      <c r="D40" s="62">
        <f>SUM(D42,E42,J42)</f>
        <v>968.85673415000008</v>
      </c>
      <c r="E40" s="62"/>
      <c r="F40" s="62"/>
      <c r="G40" s="62"/>
      <c r="H40" s="62"/>
      <c r="I40" s="62"/>
      <c r="J40" s="62"/>
      <c r="K40" s="62">
        <f>SUM(K42,L42,Q42)</f>
        <v>843.05686443399986</v>
      </c>
      <c r="L40" s="62"/>
      <c r="M40" s="62"/>
      <c r="N40" s="62"/>
      <c r="O40" s="62"/>
      <c r="P40" s="62"/>
      <c r="Q40" s="62"/>
      <c r="R40" s="62">
        <f>SUM(R42,S42,X42)</f>
        <v>579.01418105000005</v>
      </c>
      <c r="S40" s="62"/>
      <c r="T40" s="62"/>
      <c r="U40" s="62"/>
      <c r="V40" s="62"/>
      <c r="W40" s="62"/>
      <c r="X40" s="62"/>
      <c r="Y40" s="62">
        <f>SUM(Y42,Z42,AE42)</f>
        <v>519.90642809250005</v>
      </c>
      <c r="Z40" s="62"/>
      <c r="AA40" s="62"/>
      <c r="AB40" s="62"/>
      <c r="AC40" s="62"/>
      <c r="AD40" s="62"/>
      <c r="AE40" s="62"/>
      <c r="AF40" s="5" t="s">
        <v>71</v>
      </c>
      <c r="AG40" s="67">
        <f>AG42+AH42</f>
        <v>5423.2015364999997</v>
      </c>
      <c r="AH40" s="67"/>
      <c r="AI40" s="14"/>
      <c r="AJ40" s="22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5"/>
      <c r="AZ40" s="25"/>
      <c r="BA40" s="25"/>
      <c r="BB40" s="25"/>
      <c r="BC40" s="25"/>
      <c r="BD40" s="25"/>
      <c r="BE40" s="22"/>
      <c r="BF40" s="22"/>
      <c r="BG40" s="22"/>
      <c r="BH40" s="22"/>
      <c r="BI40" s="22"/>
    </row>
    <row r="41" spans="1:61" s="46" customFormat="1" ht="15.75" hidden="1" customHeight="1" x14ac:dyDescent="0.25">
      <c r="A41" s="63"/>
      <c r="B41" s="63"/>
      <c r="C41" s="5"/>
      <c r="D41" s="36"/>
      <c r="E41" s="36"/>
      <c r="F41" s="37">
        <f>F42*$BE$32/E42</f>
        <v>8.8174618823739309E-2</v>
      </c>
      <c r="G41" s="37">
        <f>G42*$BE$32/E42</f>
        <v>0.40773183509824135</v>
      </c>
      <c r="H41" s="37">
        <f>H42*$BE$32/E42</f>
        <v>0.49580191147946151</v>
      </c>
      <c r="I41" s="37">
        <f>I42*$BE$32/E42</f>
        <v>8.2916345985578361E-3</v>
      </c>
      <c r="J41" s="36"/>
      <c r="K41" s="36"/>
      <c r="L41" s="36"/>
      <c r="M41" s="37">
        <f>M42*$BE$32/L42</f>
        <v>8.7044795941122743E-2</v>
      </c>
      <c r="N41" s="37">
        <f>N42*$BE$32/L42</f>
        <v>0.36602829197381404</v>
      </c>
      <c r="O41" s="37">
        <f>O42*$BE$32/L42</f>
        <v>0.52943377946212389</v>
      </c>
      <c r="P41" s="37">
        <f>P42*$BE$32/L42</f>
        <v>1.7493132622939528E-2</v>
      </c>
      <c r="Q41" s="36"/>
      <c r="R41" s="36"/>
      <c r="S41" s="36"/>
      <c r="T41" s="37">
        <f>T42*$BE$32/S42</f>
        <v>0.10324999826196542</v>
      </c>
      <c r="U41" s="37">
        <f>U42*$BE$32/S42</f>
        <v>0.27808553278976034</v>
      </c>
      <c r="V41" s="37">
        <f>V42*$BE$32/S42</f>
        <v>0.59409182005085159</v>
      </c>
      <c r="W41" s="37">
        <f>W42*$BE$32/S42</f>
        <v>2.4572648897422458E-2</v>
      </c>
      <c r="X41" s="36"/>
      <c r="Y41" s="36"/>
      <c r="Z41" s="36"/>
      <c r="AA41" s="37">
        <f>AA42*$BE$32/Z42</f>
        <v>9.5080919657511823E-2</v>
      </c>
      <c r="AB41" s="37">
        <f>AB42*$BE$32/Z42</f>
        <v>0.20962567013068717</v>
      </c>
      <c r="AC41" s="37">
        <f>AC42*$BE$32/Z42</f>
        <v>0.66381462208050945</v>
      </c>
      <c r="AD41" s="37">
        <f>AD42*$BE$32/Z42</f>
        <v>3.1478788131291527E-2</v>
      </c>
      <c r="AE41" s="36"/>
      <c r="AF41" s="5"/>
      <c r="AG41" s="6"/>
      <c r="AH41" s="6"/>
      <c r="AI41" s="14"/>
      <c r="AJ41" s="22"/>
      <c r="AK41" s="24">
        <f>AVERAGE(F41,M41,T41,AA41)</f>
        <v>9.3387583171084823E-2</v>
      </c>
      <c r="AL41" s="24">
        <f t="shared" ref="AL41" si="49">AVERAGE(G41,N41,U41,AB41)</f>
        <v>0.31536783249812567</v>
      </c>
      <c r="AM41" s="24">
        <f t="shared" ref="AM41" si="50">AVERAGE(H41,O41,V41,AC41)</f>
        <v>0.57078553326823656</v>
      </c>
      <c r="AN41" s="24">
        <f t="shared" ref="AN41" si="51">AVERAGE(I41,P41,W41,AD41)</f>
        <v>2.0459051062552837E-2</v>
      </c>
      <c r="AO41" s="24"/>
      <c r="AP41" s="24">
        <f>MIN(F41,M41,T41,AA41)</f>
        <v>8.7044795941122743E-2</v>
      </c>
      <c r="AQ41" s="24">
        <f>MIN(G41,N41,U41,AB41)</f>
        <v>0.20962567013068717</v>
      </c>
      <c r="AR41" s="24">
        <f>MIN(H41,O41,V41,AC41)</f>
        <v>0.49580191147946151</v>
      </c>
      <c r="AS41" s="24">
        <f>MIN(I41,P41,W41,AD41)</f>
        <v>8.2916345985578361E-3</v>
      </c>
      <c r="AT41" s="24"/>
      <c r="AU41" s="24">
        <f>MAX(F41,M41,T41,AA41)</f>
        <v>0.10324999826196542</v>
      </c>
      <c r="AV41" s="24">
        <f>MAX(G41,N41,U41,AB41)</f>
        <v>0.40773183509824135</v>
      </c>
      <c r="AW41" s="24">
        <f>MAX(H41,O41,V41,AC41)</f>
        <v>0.66381462208050945</v>
      </c>
      <c r="AX41" s="24">
        <f>MAX(I41,P41,W41,AD41)</f>
        <v>3.1478788131291527E-2</v>
      </c>
      <c r="AY41" s="25"/>
      <c r="AZ41" s="25">
        <f>AU41/AP41</f>
        <v>1.186170834748167</v>
      </c>
      <c r="BA41" s="25">
        <f t="shared" ref="BA41" si="52">AV41/AQ41</f>
        <v>1.9450472589738108</v>
      </c>
      <c r="BB41" s="25">
        <f t="shared" ref="BB41" si="53">AW41/AR41</f>
        <v>1.3388706390818499</v>
      </c>
      <c r="BC41" s="25">
        <f t="shared" ref="BC41" si="54">AX41/AS41</f>
        <v>3.796451442368991</v>
      </c>
      <c r="BD41" s="25"/>
      <c r="BE41" s="22"/>
      <c r="BF41" s="22"/>
      <c r="BG41" s="22"/>
      <c r="BH41" s="22"/>
      <c r="BI41" s="22"/>
    </row>
    <row r="42" spans="1:61" s="46" customFormat="1" x14ac:dyDescent="0.25">
      <c r="A42" s="63"/>
      <c r="B42" s="63"/>
      <c r="C42" s="5" t="s">
        <v>8</v>
      </c>
      <c r="D42" s="48">
        <f>ROUNDUP(1271/2,1)</f>
        <v>635.5</v>
      </c>
      <c r="E42" s="36">
        <f>SUM(F42:I42)*$BE$32</f>
        <v>319.75673415</v>
      </c>
      <c r="F42" s="36">
        <f>F$4/J$4</f>
        <v>27.032049999999998</v>
      </c>
      <c r="G42" s="36">
        <f>$BJ$9</f>
        <v>125</v>
      </c>
      <c r="H42" s="36">
        <f>BF23</f>
        <v>152</v>
      </c>
      <c r="I42" s="36">
        <f>D42*I$4</f>
        <v>2.5420000000000003</v>
      </c>
      <c r="J42" s="48">
        <f>ROUNDUP(D42*2.14%,1)</f>
        <v>13.6</v>
      </c>
      <c r="K42" s="48">
        <f>ROUNDUP(1283/2,1)*BE$32</f>
        <v>669.08449999999993</v>
      </c>
      <c r="L42" s="36">
        <f>SUM(M42:P42)*$BE$32</f>
        <v>159.57236443399995</v>
      </c>
      <c r="M42" s="36">
        <f>M$4/Q$4</f>
        <v>13.317299999999999</v>
      </c>
      <c r="N42" s="36">
        <f>$BK$9</f>
        <v>56</v>
      </c>
      <c r="O42" s="36">
        <f>BG23</f>
        <v>81</v>
      </c>
      <c r="P42" s="36">
        <f>K42*P$4</f>
        <v>2.6763379999999999</v>
      </c>
      <c r="Q42" s="48">
        <f>ROUNDUP(K42*2.14%,1)</f>
        <v>14.4</v>
      </c>
      <c r="R42" s="48">
        <f>ROUNDUP(972/2,1)</f>
        <v>486</v>
      </c>
      <c r="S42" s="36">
        <f>SUM(T42:W42)*$BE$32</f>
        <v>82.514181050000005</v>
      </c>
      <c r="T42" s="36">
        <f>T$4/X$4</f>
        <v>8.1683500000000002</v>
      </c>
      <c r="U42" s="36">
        <f>$BL$9</f>
        <v>22</v>
      </c>
      <c r="V42" s="36">
        <f>BH23</f>
        <v>47</v>
      </c>
      <c r="W42" s="36">
        <f>R42*W$4</f>
        <v>1.944</v>
      </c>
      <c r="X42" s="48">
        <f>ROUNDUP(R42*2.14%,1)</f>
        <v>10.5</v>
      </c>
      <c r="Y42" s="48">
        <f>ROUNDUP(901/2,1)</f>
        <v>450.5</v>
      </c>
      <c r="Z42" s="36">
        <f>SUM(AA42:AD42)*$BE$32</f>
        <v>59.706428092499998</v>
      </c>
      <c r="AA42" s="36">
        <f>AA$4/AE$4</f>
        <v>5.4428974999999999</v>
      </c>
      <c r="AB42" s="36">
        <f>$BM$9</f>
        <v>12</v>
      </c>
      <c r="AC42" s="36">
        <f>BI23</f>
        <v>38</v>
      </c>
      <c r="AD42" s="36">
        <f>Y42*AD$4</f>
        <v>1.802</v>
      </c>
      <c r="AE42" s="48">
        <f>ROUNDUP(Y42*2.14%,1)</f>
        <v>9.6999999999999993</v>
      </c>
      <c r="AF42" s="5" t="s">
        <v>8</v>
      </c>
      <c r="AG42" s="6">
        <f>ROUNDUP(9105/2,1)*1.1182*BE$32</f>
        <v>5309.5015364999999</v>
      </c>
      <c r="AH42" s="40">
        <f>ROUNDUP(AG42*2.14%,1)</f>
        <v>113.69999999999999</v>
      </c>
      <c r="AI42" s="13"/>
      <c r="AJ42" s="22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5"/>
      <c r="AZ42" s="25"/>
      <c r="BA42" s="25"/>
      <c r="BB42" s="25"/>
      <c r="BC42" s="25"/>
      <c r="BD42" s="25"/>
      <c r="BE42" s="22"/>
      <c r="BF42" s="22"/>
      <c r="BG42" s="22"/>
      <c r="BH42" s="22"/>
      <c r="BI42" s="22"/>
    </row>
    <row r="43" spans="1:61" ht="52.5" customHeight="1" x14ac:dyDescent="0.25">
      <c r="A43" s="86" t="s">
        <v>14</v>
      </c>
      <c r="B43" s="86" t="s">
        <v>26</v>
      </c>
      <c r="C43" s="19" t="s">
        <v>70</v>
      </c>
      <c r="D43" s="62">
        <f>SUM(D45,E45,J45)</f>
        <v>4503.7748281500008</v>
      </c>
      <c r="E43" s="62"/>
      <c r="F43" s="62"/>
      <c r="G43" s="62"/>
      <c r="H43" s="62"/>
      <c r="I43" s="62"/>
      <c r="J43" s="62"/>
      <c r="K43" s="62">
        <f>SUM(K45,L45,Q45)</f>
        <v>4511.9864474440001</v>
      </c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47" t="s">
        <v>18</v>
      </c>
      <c r="AG43" s="62">
        <f>AG45+AH45</f>
        <v>11773.16418</v>
      </c>
      <c r="AH43" s="62"/>
      <c r="AI43" s="12"/>
    </row>
    <row r="44" spans="1:61" ht="15.75" hidden="1" customHeight="1" x14ac:dyDescent="0.25">
      <c r="A44" s="86"/>
      <c r="B44" s="86"/>
      <c r="C44" s="19"/>
      <c r="D44" s="36"/>
      <c r="E44" s="36"/>
      <c r="F44" s="37">
        <f>F45*$BE$32/E45</f>
        <v>6.0093650508006261E-2</v>
      </c>
      <c r="G44" s="37">
        <f>G45*$BE$32/E45</f>
        <v>0.277881489324738</v>
      </c>
      <c r="H44" s="37">
        <f>H45*$BE$32/E45</f>
        <v>0.62690063991660883</v>
      </c>
      <c r="I44" s="37">
        <f>I45*$BE$32/E45</f>
        <v>3.5124220250646876E-2</v>
      </c>
      <c r="J44" s="36"/>
      <c r="K44" s="36"/>
      <c r="L44" s="36"/>
      <c r="M44" s="37">
        <f>M45*$BE$32/L45</f>
        <v>5.8909499971574388E-2</v>
      </c>
      <c r="N44" s="37">
        <f>N45*$BE$32/L45</f>
        <v>0.24771778051167773</v>
      </c>
      <c r="O44" s="37">
        <f>O45*$BE$32/L45</f>
        <v>0.61929445127919425</v>
      </c>
      <c r="P44" s="37">
        <f>P45*$BE$32/L45</f>
        <v>7.4078268237553646E-2</v>
      </c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47"/>
      <c r="AG44" s="36"/>
      <c r="AH44" s="36"/>
      <c r="AI44" s="12"/>
      <c r="AK44" s="24">
        <f>AVERAGE(F44,M44,T44,AA44)</f>
        <v>5.9501575239790327E-2</v>
      </c>
      <c r="AL44" s="24">
        <f t="shared" ref="AL44" si="55">AVERAGE(G44,N44,U44,AB44)</f>
        <v>0.26279963491820785</v>
      </c>
      <c r="AM44" s="24">
        <f t="shared" ref="AM44" si="56">AVERAGE(H44,O44,V44,AC44)</f>
        <v>0.62309754559790154</v>
      </c>
      <c r="AN44" s="24">
        <f t="shared" ref="AN44" si="57">AVERAGE(I44,P44,W44,AD44)</f>
        <v>5.4601244244100261E-2</v>
      </c>
      <c r="AP44" s="24">
        <f>MIN(F44,M44,T44,AA44)</f>
        <v>5.8909499971574388E-2</v>
      </c>
      <c r="AQ44" s="24">
        <f>MIN(G44,N44,U44,AB44)</f>
        <v>0.24771778051167773</v>
      </c>
      <c r="AR44" s="24">
        <f>MIN(H44,O44,V44,AC44)</f>
        <v>0.61929445127919425</v>
      </c>
      <c r="AS44" s="24">
        <f>MIN(I44,P44,W44,AD44)</f>
        <v>3.5124220250646876E-2</v>
      </c>
      <c r="AU44" s="24">
        <f>MAX(F44,M44,T44,AA44)</f>
        <v>6.0093650508006261E-2</v>
      </c>
      <c r="AV44" s="24">
        <f>MAX(G44,N44,U44,AB44)</f>
        <v>0.277881489324738</v>
      </c>
      <c r="AW44" s="24">
        <f>MAX(H44,O44,V44,AC44)</f>
        <v>0.62690063991660883</v>
      </c>
      <c r="AX44" s="24">
        <f>MAX(I44,P44,W44,AD44)</f>
        <v>7.4078268237553646E-2</v>
      </c>
      <c r="AZ44" s="25">
        <f>AU44/AP44</f>
        <v>1.0201011812526546</v>
      </c>
      <c r="BA44" s="25">
        <f t="shared" ref="BA44" si="58">AV44/AQ44</f>
        <v>1.1217664260948694</v>
      </c>
      <c r="BB44" s="25">
        <f t="shared" ref="BB44" si="59">AW44/AR44</f>
        <v>1.0122820229080101</v>
      </c>
      <c r="BC44" s="25">
        <f t="shared" ref="BC44" si="60">AX44/AS44</f>
        <v>2.1090366621359902</v>
      </c>
    </row>
    <row r="45" spans="1:61" x14ac:dyDescent="0.25">
      <c r="A45" s="86"/>
      <c r="B45" s="86"/>
      <c r="C45" s="19" t="s">
        <v>8</v>
      </c>
      <c r="D45" s="36">
        <f>3950</f>
        <v>3950</v>
      </c>
      <c r="E45" s="36">
        <f>SUM(F45:I45)*$BE$32</f>
        <v>469.17482815</v>
      </c>
      <c r="F45" s="36">
        <f>F$4/J$4</f>
        <v>27.032049999999998</v>
      </c>
      <c r="G45" s="36">
        <f>$BJ$9</f>
        <v>125</v>
      </c>
      <c r="H45" s="36">
        <f>BF24</f>
        <v>282</v>
      </c>
      <c r="I45" s="36">
        <f>D45*I$4</f>
        <v>15.8</v>
      </c>
      <c r="J45" s="36">
        <f>ROUNDUP(D45*2.14%,1)</f>
        <v>84.6</v>
      </c>
      <c r="K45" s="6">
        <f>4014*BE$32</f>
        <v>4186.6019999999999</v>
      </c>
      <c r="L45" s="36">
        <f>SUM(M45:P45)*$BE$32</f>
        <v>235.78444744399997</v>
      </c>
      <c r="M45" s="36">
        <f>M$4/Q$4</f>
        <v>13.317299999999999</v>
      </c>
      <c r="N45" s="36">
        <f>$BK$9</f>
        <v>56</v>
      </c>
      <c r="O45" s="36">
        <f>BG24</f>
        <v>140</v>
      </c>
      <c r="P45" s="36">
        <f>K45*P$4</f>
        <v>16.746407999999999</v>
      </c>
      <c r="Q45" s="36">
        <f>ROUNDUP(K45*2.14%,1)</f>
        <v>89.6</v>
      </c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47" t="s">
        <v>8</v>
      </c>
      <c r="AG45" s="36">
        <f>11051.26*BE$32</f>
        <v>11526.464179999999</v>
      </c>
      <c r="AH45" s="40">
        <f>ROUNDUP(AG45*2.14%,1)</f>
        <v>246.7</v>
      </c>
      <c r="AI45" s="13"/>
    </row>
    <row r="46" spans="1:61" ht="42.75" customHeight="1" x14ac:dyDescent="0.25">
      <c r="A46" s="86"/>
      <c r="B46" s="86" t="s">
        <v>27</v>
      </c>
      <c r="C46" s="19" t="s">
        <v>70</v>
      </c>
      <c r="D46" s="62">
        <f>SUM(D48,E48,J48)</f>
        <v>4600.1669961500002</v>
      </c>
      <c r="E46" s="62"/>
      <c r="F46" s="62"/>
      <c r="G46" s="62"/>
      <c r="H46" s="62"/>
      <c r="I46" s="62"/>
      <c r="J46" s="62"/>
      <c r="K46" s="62">
        <f>SUM(K48,L48,Q48)</f>
        <v>4544.1069893240001</v>
      </c>
      <c r="L46" s="62"/>
      <c r="M46" s="62"/>
      <c r="N46" s="62"/>
      <c r="O46" s="62"/>
      <c r="P46" s="62"/>
      <c r="Q46" s="62"/>
      <c r="R46" s="62">
        <f>SUM(R48,S48,X48)</f>
        <v>1949.51984505</v>
      </c>
      <c r="S46" s="62"/>
      <c r="T46" s="62"/>
      <c r="U46" s="62"/>
      <c r="V46" s="62"/>
      <c r="W46" s="62"/>
      <c r="X46" s="62"/>
      <c r="Y46" s="62">
        <f>SUM(Y48,Z48,AE48)</f>
        <v>1855.9452220925</v>
      </c>
      <c r="Z46" s="62"/>
      <c r="AA46" s="62"/>
      <c r="AB46" s="62"/>
      <c r="AC46" s="62"/>
      <c r="AD46" s="62"/>
      <c r="AE46" s="62"/>
      <c r="AF46" s="47" t="s">
        <v>18</v>
      </c>
      <c r="AG46" s="62">
        <f>AG48+AH48</f>
        <v>11773.16418</v>
      </c>
      <c r="AH46" s="62"/>
      <c r="AI46" s="12"/>
    </row>
    <row r="47" spans="1:61" ht="15.75" hidden="1" customHeight="1" x14ac:dyDescent="0.25">
      <c r="A47" s="86"/>
      <c r="B47" s="86"/>
      <c r="C47" s="19"/>
      <c r="D47" s="36"/>
      <c r="E47" s="36"/>
      <c r="F47" s="37">
        <f>F48*$BE$32/E48</f>
        <v>6.0043462128231598E-2</v>
      </c>
      <c r="G47" s="37">
        <f>G48*$BE$32/E48</f>
        <v>0.27764941119999964</v>
      </c>
      <c r="H47" s="37">
        <f>H48*$BE$32/E48</f>
        <v>0.62637707166719925</v>
      </c>
      <c r="I47" s="37">
        <f>I48*$BE$32/E48</f>
        <v>3.5930055004569555E-2</v>
      </c>
      <c r="J47" s="36"/>
      <c r="K47" s="36"/>
      <c r="L47" s="36"/>
      <c r="M47" s="37">
        <f>M48*$BE$32/L48</f>
        <v>5.887690281910779E-2</v>
      </c>
      <c r="N47" s="37">
        <f>N48*$BE$32/L48</f>
        <v>0.24758070764119125</v>
      </c>
      <c r="O47" s="37">
        <f>O48*$BE$32/L48</f>
        <v>0.61895176910297811</v>
      </c>
      <c r="P47" s="37">
        <f>P48*$BE$32/L48</f>
        <v>7.4590620436722821E-2</v>
      </c>
      <c r="Q47" s="36"/>
      <c r="R47" s="36"/>
      <c r="S47" s="36"/>
      <c r="T47" s="37">
        <f>T48*$BE$32/S48</f>
        <v>7.5381354895955946E-2</v>
      </c>
      <c r="U47" s="37">
        <f>U48*$BE$32/S48</f>
        <v>0.20302629144331849</v>
      </c>
      <c r="V47" s="37">
        <f>V48*$BE$32/S48</f>
        <v>0.65522121329434613</v>
      </c>
      <c r="W47" s="37">
        <f>W48*$BE$32/S48</f>
        <v>6.6371140366379394E-2</v>
      </c>
      <c r="X47" s="36"/>
      <c r="Y47" s="36"/>
      <c r="Z47" s="36"/>
      <c r="AA47" s="37">
        <f>AA48*$BE$32/Z48</f>
        <v>7.2184195574182014E-2</v>
      </c>
      <c r="AB47" s="37">
        <f>AB48*$BE$32/Z48</f>
        <v>0.15914507794610944</v>
      </c>
      <c r="AC47" s="37">
        <f>AC48*$BE$32/Z48</f>
        <v>0.67636658127096516</v>
      </c>
      <c r="AD47" s="37">
        <f>AD48*$BE$32/Z48</f>
        <v>9.2304145208743471E-2</v>
      </c>
      <c r="AE47" s="36"/>
      <c r="AF47" s="47"/>
      <c r="AG47" s="36"/>
      <c r="AH47" s="36"/>
      <c r="AI47" s="12"/>
      <c r="AK47" s="24">
        <f>AVERAGE(F47,M47,T47,AA47)</f>
        <v>6.6621478854369337E-2</v>
      </c>
      <c r="AL47" s="24">
        <f t="shared" ref="AL47" si="61">AVERAGE(G47,N47,U47,AB47)</f>
        <v>0.2218503720576547</v>
      </c>
      <c r="AM47" s="24">
        <f t="shared" ref="AM47" si="62">AVERAGE(H47,O47,V47,AC47)</f>
        <v>0.64422915883387222</v>
      </c>
      <c r="AN47" s="24">
        <f t="shared" ref="AN47" si="63">AVERAGE(I47,P47,W47,AD47)</f>
        <v>6.729899025410381E-2</v>
      </c>
      <c r="AP47" s="24">
        <f>MIN(F47,M47,T47,AA47)</f>
        <v>5.887690281910779E-2</v>
      </c>
      <c r="AQ47" s="24">
        <f>MIN(G47,N47,U47,AB47)</f>
        <v>0.15914507794610944</v>
      </c>
      <c r="AR47" s="24">
        <f>MIN(H47,O47,V47,AC47)</f>
        <v>0.61895176910297811</v>
      </c>
      <c r="AS47" s="24">
        <f>MIN(I47,P47,W47,AD47)</f>
        <v>3.5930055004569555E-2</v>
      </c>
      <c r="AU47" s="24">
        <f>MAX(F47,M47,T47,AA47)</f>
        <v>7.5381354895955946E-2</v>
      </c>
      <c r="AV47" s="24">
        <f>MAX(G47,N47,U47,AB47)</f>
        <v>0.27764941119999964</v>
      </c>
      <c r="AW47" s="24">
        <f>MAX(H47,O47,V47,AC47)</f>
        <v>0.67636658127096516</v>
      </c>
      <c r="AX47" s="24">
        <f>MAX(I47,P47,W47,AD47)</f>
        <v>9.2304145208743471E-2</v>
      </c>
      <c r="AZ47" s="25">
        <f>AU47/AP47</f>
        <v>1.2803213363236192</v>
      </c>
      <c r="BA47" s="25">
        <f t="shared" ref="BA47" si="64">AV47/AQ47</f>
        <v>1.7446308411374103</v>
      </c>
      <c r="BB47" s="25">
        <f t="shared" ref="BB47" si="65">AW47/AR47</f>
        <v>1.0927613669336402</v>
      </c>
      <c r="BC47" s="25">
        <f t="shared" ref="BC47" si="66">AX47/AS47</f>
        <v>2.568995377185042</v>
      </c>
    </row>
    <row r="48" spans="1:61" x14ac:dyDescent="0.25">
      <c r="A48" s="86"/>
      <c r="B48" s="86"/>
      <c r="C48" s="19" t="s">
        <v>8</v>
      </c>
      <c r="D48" s="36">
        <f>4044</f>
        <v>4044</v>
      </c>
      <c r="E48" s="36">
        <f>SUM(F48:I48)*$BE$32</f>
        <v>469.56699614999997</v>
      </c>
      <c r="F48" s="36">
        <f>F$4/J$4</f>
        <v>27.032049999999998</v>
      </c>
      <c r="G48" s="36">
        <f>$BJ$9</f>
        <v>125</v>
      </c>
      <c r="H48" s="36">
        <f>BF26</f>
        <v>282</v>
      </c>
      <c r="I48" s="36">
        <f>D48*I$4</f>
        <v>16.176000000000002</v>
      </c>
      <c r="J48" s="36">
        <f>ROUNDUP(D48*2.14%,1)</f>
        <v>86.6</v>
      </c>
      <c r="K48" s="36">
        <f>4044*BE$32</f>
        <v>4217.8919999999998</v>
      </c>
      <c r="L48" s="36">
        <f>SUM(M48:P48)*$BE$32</f>
        <v>235.91498932399998</v>
      </c>
      <c r="M48" s="36">
        <f>M$4/Q$4</f>
        <v>13.317299999999999</v>
      </c>
      <c r="N48" s="36">
        <f>$BK$9</f>
        <v>56</v>
      </c>
      <c r="O48" s="36">
        <f>BG26</f>
        <v>140</v>
      </c>
      <c r="P48" s="36">
        <f>K48*P$4</f>
        <v>16.871568</v>
      </c>
      <c r="Q48" s="36">
        <f>ROUNDUP(K48*2.14%,1)</f>
        <v>90.3</v>
      </c>
      <c r="R48" s="6">
        <f>1798</f>
        <v>1798</v>
      </c>
      <c r="S48" s="36">
        <f>SUM(T48:W48)*$BE$32</f>
        <v>113.01984505</v>
      </c>
      <c r="T48" s="36">
        <f>T$4/X$4</f>
        <v>8.1683500000000002</v>
      </c>
      <c r="U48" s="36">
        <f>$BL$9</f>
        <v>22</v>
      </c>
      <c r="V48" s="36">
        <f>BH26</f>
        <v>71</v>
      </c>
      <c r="W48" s="36">
        <f>R48*W$4</f>
        <v>7.1920000000000002</v>
      </c>
      <c r="X48" s="6">
        <f>ROUNDUP(R48*2.14%,1)</f>
        <v>38.5</v>
      </c>
      <c r="Y48" s="6">
        <f>1740</f>
        <v>1740</v>
      </c>
      <c r="Z48" s="36">
        <f>SUM(AA48:AD48)*$BE$32</f>
        <v>78.645222092499992</v>
      </c>
      <c r="AA48" s="36">
        <f>AA$4/AE$4</f>
        <v>5.4428974999999999</v>
      </c>
      <c r="AB48" s="36">
        <f>$BM$9</f>
        <v>12</v>
      </c>
      <c r="AC48" s="36">
        <f>BI26</f>
        <v>51</v>
      </c>
      <c r="AD48" s="36">
        <f>Y48*AD$4</f>
        <v>6.96</v>
      </c>
      <c r="AE48" s="6">
        <f>ROUNDUP(Y48*2.14%,1)</f>
        <v>37.300000000000004</v>
      </c>
      <c r="AF48" s="19" t="s">
        <v>8</v>
      </c>
      <c r="AG48" s="6">
        <f>11051.26*BE$32</f>
        <v>11526.464179999999</v>
      </c>
      <c r="AH48" s="40">
        <f>ROUNDUP(AG48*2.14%,1)</f>
        <v>246.7</v>
      </c>
      <c r="AI48" s="13"/>
    </row>
    <row r="49" spans="1:55" ht="42.75" customHeight="1" x14ac:dyDescent="0.25">
      <c r="A49" s="86"/>
      <c r="B49" s="86" t="s">
        <v>28</v>
      </c>
      <c r="C49" s="19" t="s">
        <v>70</v>
      </c>
      <c r="D49" s="75"/>
      <c r="E49" s="76"/>
      <c r="F49" s="76"/>
      <c r="G49" s="76"/>
      <c r="H49" s="76"/>
      <c r="I49" s="76"/>
      <c r="J49" s="77"/>
      <c r="K49" s="62">
        <f>SUM(K51,L51,Q51)</f>
        <v>4436.1244983280003</v>
      </c>
      <c r="L49" s="62"/>
      <c r="M49" s="62"/>
      <c r="N49" s="62"/>
      <c r="O49" s="62"/>
      <c r="P49" s="62"/>
      <c r="Q49" s="62"/>
      <c r="R49" s="62">
        <f>SUM(R51,S51,X51)</f>
        <v>1815.1733130499999</v>
      </c>
      <c r="S49" s="62"/>
      <c r="T49" s="62"/>
      <c r="U49" s="62"/>
      <c r="V49" s="62"/>
      <c r="W49" s="62"/>
      <c r="X49" s="62"/>
      <c r="Y49" s="62">
        <f>SUM(Y51,Z51,AE51)</f>
        <v>1228.2919580925</v>
      </c>
      <c r="Z49" s="62"/>
      <c r="AA49" s="62"/>
      <c r="AB49" s="62"/>
      <c r="AC49" s="62"/>
      <c r="AD49" s="62"/>
      <c r="AE49" s="62"/>
      <c r="AF49" s="19" t="s">
        <v>18</v>
      </c>
      <c r="AG49" s="67">
        <f>AG51+AH51</f>
        <v>11773.16418</v>
      </c>
      <c r="AH49" s="67"/>
      <c r="AI49" s="14"/>
    </row>
    <row r="50" spans="1:55" ht="15.75" hidden="1" customHeight="1" x14ac:dyDescent="0.25">
      <c r="A50" s="86"/>
      <c r="B50" s="86"/>
      <c r="C50" s="19"/>
      <c r="D50" s="51"/>
      <c r="E50" s="52"/>
      <c r="F50" s="52"/>
      <c r="G50" s="52"/>
      <c r="H50" s="52"/>
      <c r="I50" s="52"/>
      <c r="J50" s="53"/>
      <c r="K50" s="36"/>
      <c r="L50" s="36"/>
      <c r="M50" s="37">
        <f>M51*$BE$32/L51</f>
        <v>5.8986790551993365E-2</v>
      </c>
      <c r="N50" s="37">
        <f>N51*$BE$32/L51</f>
        <v>0.24804279177548214</v>
      </c>
      <c r="O50" s="37">
        <f>O51*$BE$32/L51</f>
        <v>0.6201069794387053</v>
      </c>
      <c r="P50" s="37">
        <f>P51*$BE$32/L51</f>
        <v>7.2863438233819106E-2</v>
      </c>
      <c r="Q50" s="36"/>
      <c r="R50" s="36"/>
      <c r="S50" s="36"/>
      <c r="T50" s="37">
        <f>T51*$BE$32/S51</f>
        <v>7.5747649099770165E-2</v>
      </c>
      <c r="U50" s="37">
        <f>U51*$BE$32/S51</f>
        <v>0.20401283982627377</v>
      </c>
      <c r="V50" s="37">
        <f>V51*$BE$32/S51</f>
        <v>0.65840507398479264</v>
      </c>
      <c r="W50" s="37">
        <f>W51*$BE$32/S51</f>
        <v>6.1834437089163342E-2</v>
      </c>
      <c r="X50" s="36"/>
      <c r="Y50" s="36"/>
      <c r="Z50" s="36"/>
      <c r="AA50" s="37">
        <f>AA51*$BE$32/Z51</f>
        <v>7.4606334687811734E-2</v>
      </c>
      <c r="AB50" s="37">
        <f>AB51*$BE$32/Z51</f>
        <v>0.16448518757770852</v>
      </c>
      <c r="AC50" s="37">
        <f>AC51*$BE$32/Z51</f>
        <v>0.69906204720526133</v>
      </c>
      <c r="AD50" s="37">
        <f>AD51*$BE$32/Z51</f>
        <v>6.184643052921842E-2</v>
      </c>
      <c r="AE50" s="36"/>
      <c r="AF50" s="19"/>
      <c r="AG50" s="6"/>
      <c r="AH50" s="6"/>
      <c r="AI50" s="14"/>
      <c r="AK50" s="24">
        <f>AVERAGE(F50,M50,T50,AA50)</f>
        <v>6.9780258113191759E-2</v>
      </c>
      <c r="AL50" s="24">
        <f t="shared" ref="AL50" si="67">AVERAGE(G50,N50,U50,AB50)</f>
        <v>0.20551360639315477</v>
      </c>
      <c r="AM50" s="24">
        <f t="shared" ref="AM50" si="68">AVERAGE(H50,O50,V50,AC50)</f>
        <v>0.65919136687625313</v>
      </c>
      <c r="AN50" s="24">
        <f t="shared" ref="AN50" si="69">AVERAGE(I50,P50,W50,AD50)</f>
        <v>6.5514768617400285E-2</v>
      </c>
      <c r="AP50" s="24">
        <f>MIN(F50,M50,T50,AA50)</f>
        <v>5.8986790551993365E-2</v>
      </c>
      <c r="AQ50" s="24">
        <f>MIN(G50,N50,U50,AB50)</f>
        <v>0.16448518757770852</v>
      </c>
      <c r="AR50" s="24">
        <f>MIN(H50,O50,V50,AC50)</f>
        <v>0.6201069794387053</v>
      </c>
      <c r="AS50" s="24">
        <f>MIN(I50,P50,W50,AD50)</f>
        <v>6.1834437089163342E-2</v>
      </c>
      <c r="AU50" s="24">
        <f>MAX(F50,M50,T50,AA50)</f>
        <v>7.5747649099770165E-2</v>
      </c>
      <c r="AV50" s="24">
        <f>MAX(G50,N50,U50,AB50)</f>
        <v>0.24804279177548214</v>
      </c>
      <c r="AW50" s="24">
        <f>MAX(H50,O50,V50,AC50)</f>
        <v>0.69906204720526133</v>
      </c>
      <c r="AX50" s="24">
        <f>MAX(I50,P50,W50,AD50)</f>
        <v>7.2863438233819106E-2</v>
      </c>
      <c r="AZ50" s="25">
        <f>AU50/AP50</f>
        <v>1.2841459654090368</v>
      </c>
      <c r="BA50" s="25">
        <f t="shared" ref="BA50" si="70">AV50/AQ50</f>
        <v>1.5079947041328454</v>
      </c>
      <c r="BB50" s="25">
        <f t="shared" ref="BB50" si="71">AW50/AR50</f>
        <v>1.1273249139011834</v>
      </c>
      <c r="BC50" s="25">
        <f t="shared" ref="BC50" si="72">AX50/AS50</f>
        <v>1.1783634114555339</v>
      </c>
    </row>
    <row r="51" spans="1:55" x14ac:dyDescent="0.25">
      <c r="A51" s="86"/>
      <c r="B51" s="86"/>
      <c r="C51" s="19" t="s">
        <v>8</v>
      </c>
      <c r="D51" s="75"/>
      <c r="E51" s="76"/>
      <c r="F51" s="76"/>
      <c r="G51" s="76"/>
      <c r="H51" s="76"/>
      <c r="I51" s="76"/>
      <c r="J51" s="77"/>
      <c r="K51" s="36">
        <f>3943*BE$32</f>
        <v>4112.549</v>
      </c>
      <c r="L51" s="36">
        <f>SUM(M51:P51)*$BE$32</f>
        <v>235.47549832799999</v>
      </c>
      <c r="M51" s="36">
        <f>M$4/Q$4</f>
        <v>13.317299999999999</v>
      </c>
      <c r="N51" s="36">
        <f>$BK$9</f>
        <v>56</v>
      </c>
      <c r="O51" s="36">
        <f>BG27</f>
        <v>140</v>
      </c>
      <c r="P51" s="36">
        <f>K51*P$4</f>
        <v>16.450196000000002</v>
      </c>
      <c r="Q51" s="36">
        <f>ROUNDUP(K51*2.14%,1)</f>
        <v>88.1</v>
      </c>
      <c r="R51" s="6">
        <f>1667</f>
        <v>1667</v>
      </c>
      <c r="S51" s="36">
        <f>SUM(T51:W51)*$BE$32</f>
        <v>112.47331305</v>
      </c>
      <c r="T51" s="36">
        <f>T$4/X$4</f>
        <v>8.1683500000000002</v>
      </c>
      <c r="U51" s="36">
        <f>$BL$9</f>
        <v>22</v>
      </c>
      <c r="V51" s="36">
        <f>BH27</f>
        <v>71</v>
      </c>
      <c r="W51" s="36">
        <f>R51*W$4</f>
        <v>6.6680000000000001</v>
      </c>
      <c r="X51" s="6">
        <f>ROUNDUP(R51*2.14%,1)</f>
        <v>35.700000000000003</v>
      </c>
      <c r="Y51" s="6">
        <f>1128</f>
        <v>1128</v>
      </c>
      <c r="Z51" s="36">
        <f>SUM(AA51:AD51)*$BE$32</f>
        <v>76.091958092499993</v>
      </c>
      <c r="AA51" s="36">
        <f>AA$4/AE$4</f>
        <v>5.4428974999999999</v>
      </c>
      <c r="AB51" s="36">
        <f>$BM$9</f>
        <v>12</v>
      </c>
      <c r="AC51" s="36">
        <f>BI27</f>
        <v>51</v>
      </c>
      <c r="AD51" s="36">
        <f>Y51*AD$4</f>
        <v>4.5120000000000005</v>
      </c>
      <c r="AE51" s="6">
        <f>ROUNDUP(Y51*2.14%,1)</f>
        <v>24.200000000000003</v>
      </c>
      <c r="AF51" s="19" t="s">
        <v>8</v>
      </c>
      <c r="AG51" s="6">
        <f>11051.26*BE$32</f>
        <v>11526.464179999999</v>
      </c>
      <c r="AH51" s="40">
        <f>ROUNDUP(AG51*2.14%,1)</f>
        <v>246.7</v>
      </c>
      <c r="AI51" s="13"/>
    </row>
    <row r="52" spans="1:55" ht="41.25" customHeight="1" x14ac:dyDescent="0.25">
      <c r="A52" s="61" t="s">
        <v>33</v>
      </c>
      <c r="B52" s="61"/>
      <c r="C52" s="19" t="s">
        <v>70</v>
      </c>
      <c r="D52" s="62">
        <f>SUM(D53,E53,J53)</f>
        <v>8296.7501245999993</v>
      </c>
      <c r="E52" s="62"/>
      <c r="F52" s="62"/>
      <c r="G52" s="62"/>
      <c r="H52" s="62"/>
      <c r="I52" s="62"/>
      <c r="J52" s="62"/>
      <c r="K52" s="62">
        <f>SUM(K53,L53,Q53)</f>
        <v>7490.1725720519999</v>
      </c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75"/>
      <c r="Z52" s="76"/>
      <c r="AA52" s="76"/>
      <c r="AB52" s="76"/>
      <c r="AC52" s="76"/>
      <c r="AD52" s="76"/>
      <c r="AE52" s="77"/>
      <c r="AF52" s="19"/>
      <c r="AG52" s="69"/>
      <c r="AH52" s="70"/>
      <c r="AI52" s="8"/>
    </row>
    <row r="53" spans="1:55" ht="24.75" customHeight="1" x14ac:dyDescent="0.25">
      <c r="A53" s="61"/>
      <c r="B53" s="61"/>
      <c r="C53" s="19" t="s">
        <v>8</v>
      </c>
      <c r="D53" s="36">
        <f t="shared" ref="D53:I53" si="73">D29+D39+D42+D45</f>
        <v>6671</v>
      </c>
      <c r="E53" s="36">
        <f>E29+E39+E42+E45</f>
        <v>1482.9501246</v>
      </c>
      <c r="F53" s="36">
        <f t="shared" si="73"/>
        <v>108.12819999999999</v>
      </c>
      <c r="G53" s="36">
        <f t="shared" si="73"/>
        <v>500</v>
      </c>
      <c r="H53" s="36">
        <f t="shared" si="73"/>
        <v>787</v>
      </c>
      <c r="I53" s="36">
        <f t="shared" si="73"/>
        <v>26.684000000000001</v>
      </c>
      <c r="J53" s="36">
        <f>ROUNDUP(D53*2.14%,1)</f>
        <v>142.79999999999998</v>
      </c>
      <c r="K53" s="36">
        <f t="shared" ref="K53:P53" si="74">K29+K39+K42+K45</f>
        <v>6609.491</v>
      </c>
      <c r="L53" s="36">
        <f t="shared" si="74"/>
        <v>739.18157205199986</v>
      </c>
      <c r="M53" s="36">
        <f t="shared" si="74"/>
        <v>53.269199999999998</v>
      </c>
      <c r="N53" s="36">
        <f t="shared" si="74"/>
        <v>224</v>
      </c>
      <c r="O53" s="36">
        <f t="shared" si="74"/>
        <v>405</v>
      </c>
      <c r="P53" s="36">
        <f t="shared" si="74"/>
        <v>26.437964000000001</v>
      </c>
      <c r="Q53" s="36">
        <f>ROUNDUP(K53*2.14%,1)</f>
        <v>141.5</v>
      </c>
      <c r="R53" s="75"/>
      <c r="S53" s="76"/>
      <c r="T53" s="76"/>
      <c r="U53" s="76"/>
      <c r="V53" s="76"/>
      <c r="W53" s="76"/>
      <c r="X53" s="77"/>
      <c r="Y53" s="75"/>
      <c r="Z53" s="76"/>
      <c r="AA53" s="76"/>
      <c r="AB53" s="76"/>
      <c r="AC53" s="76"/>
      <c r="AD53" s="76"/>
      <c r="AE53" s="77"/>
      <c r="AF53" s="19"/>
      <c r="AG53" s="3"/>
      <c r="AH53" s="1"/>
      <c r="AI53" s="9"/>
    </row>
    <row r="54" spans="1:55" ht="41.25" customHeight="1" x14ac:dyDescent="0.25">
      <c r="A54" s="61" t="s">
        <v>34</v>
      </c>
      <c r="B54" s="61"/>
      <c r="C54" s="19" t="s">
        <v>70</v>
      </c>
      <c r="D54" s="62">
        <f>SUM(D55,E55,J55)</f>
        <v>8393.1422925999996</v>
      </c>
      <c r="E54" s="62"/>
      <c r="F54" s="62"/>
      <c r="G54" s="62"/>
      <c r="H54" s="62"/>
      <c r="I54" s="62"/>
      <c r="J54" s="62"/>
      <c r="K54" s="62">
        <f>SUM(K55,L55,Q55)</f>
        <v>7522.2931139319999</v>
      </c>
      <c r="L54" s="62"/>
      <c r="M54" s="62"/>
      <c r="N54" s="62"/>
      <c r="O54" s="62"/>
      <c r="P54" s="62"/>
      <c r="Q54" s="62"/>
      <c r="R54" s="62">
        <f>SUM(R55,S55,X55)</f>
        <v>4316.2122761999999</v>
      </c>
      <c r="S54" s="62"/>
      <c r="T54" s="62"/>
      <c r="U54" s="62"/>
      <c r="V54" s="62"/>
      <c r="W54" s="62"/>
      <c r="X54" s="62"/>
      <c r="Y54" s="62">
        <f>SUM(Y55,Z55,AE55)</f>
        <v>4081.70718837</v>
      </c>
      <c r="Z54" s="62"/>
      <c r="AA54" s="62"/>
      <c r="AB54" s="62"/>
      <c r="AC54" s="62"/>
      <c r="AD54" s="62"/>
      <c r="AE54" s="62"/>
      <c r="AF54" s="19"/>
      <c r="AG54" s="69"/>
      <c r="AH54" s="70"/>
      <c r="AI54" s="8"/>
    </row>
    <row r="55" spans="1:55" ht="24.75" customHeight="1" x14ac:dyDescent="0.25">
      <c r="A55" s="61"/>
      <c r="B55" s="61"/>
      <c r="C55" s="19" t="s">
        <v>8</v>
      </c>
      <c r="D55" s="36">
        <f t="shared" ref="D55:I55" si="75">D29+D39+D42+D48</f>
        <v>6765</v>
      </c>
      <c r="E55" s="36">
        <f t="shared" si="75"/>
        <v>1483.3422926000001</v>
      </c>
      <c r="F55" s="36">
        <f t="shared" si="75"/>
        <v>108.12819999999999</v>
      </c>
      <c r="G55" s="36">
        <f t="shared" si="75"/>
        <v>500</v>
      </c>
      <c r="H55" s="36">
        <f t="shared" si="75"/>
        <v>787</v>
      </c>
      <c r="I55" s="36">
        <f t="shared" si="75"/>
        <v>27.060000000000002</v>
      </c>
      <c r="J55" s="36">
        <f>ROUNDUP(D55*2.14%,1)</f>
        <v>144.79999999999998</v>
      </c>
      <c r="K55" s="36">
        <f t="shared" ref="K55:P55" si="76">K29+K39+K42+K48</f>
        <v>6640.7809999999999</v>
      </c>
      <c r="L55" s="36">
        <f t="shared" si="76"/>
        <v>739.31211393199987</v>
      </c>
      <c r="M55" s="36">
        <f t="shared" si="76"/>
        <v>53.269199999999998</v>
      </c>
      <c r="N55" s="36">
        <f t="shared" si="76"/>
        <v>224</v>
      </c>
      <c r="O55" s="36">
        <f t="shared" si="76"/>
        <v>405</v>
      </c>
      <c r="P55" s="36">
        <f t="shared" si="76"/>
        <v>26.563124000000002</v>
      </c>
      <c r="Q55" s="36">
        <f>ROUNDUP(K55*2.14%,1)</f>
        <v>142.19999999999999</v>
      </c>
      <c r="R55" s="36">
        <f t="shared" ref="R55:W55" si="77">R29+R39+R42+R48</f>
        <v>3860</v>
      </c>
      <c r="S55" s="36">
        <f t="shared" si="77"/>
        <v>373.51227620000003</v>
      </c>
      <c r="T55" s="36">
        <f t="shared" si="77"/>
        <v>32.673400000000001</v>
      </c>
      <c r="U55" s="36">
        <f t="shared" si="77"/>
        <v>88</v>
      </c>
      <c r="V55" s="36">
        <f t="shared" si="77"/>
        <v>222</v>
      </c>
      <c r="W55" s="36">
        <f t="shared" si="77"/>
        <v>15.440000000000001</v>
      </c>
      <c r="X55" s="36">
        <f>ROUNDUP(R55*2.14%,1)</f>
        <v>82.699999999999989</v>
      </c>
      <c r="Y55" s="36">
        <f t="shared" ref="Y55:AD55" si="78">Y29+Y39+Y42+Y48</f>
        <v>3735</v>
      </c>
      <c r="Z55" s="36">
        <f t="shared" si="78"/>
        <v>266.70718836999998</v>
      </c>
      <c r="AA55" s="36">
        <f t="shared" si="78"/>
        <v>21.77159</v>
      </c>
      <c r="AB55" s="36">
        <f t="shared" si="78"/>
        <v>48</v>
      </c>
      <c r="AC55" s="36">
        <f t="shared" si="78"/>
        <v>171</v>
      </c>
      <c r="AD55" s="36">
        <f t="shared" si="78"/>
        <v>14.940000000000001</v>
      </c>
      <c r="AE55" s="36">
        <f>ROUNDUP(Y55*2.14%,1)</f>
        <v>80</v>
      </c>
      <c r="AF55" s="19"/>
      <c r="AG55" s="19"/>
      <c r="AH55" s="19"/>
      <c r="AI55" s="10"/>
    </row>
    <row r="56" spans="1:55" ht="41.25" customHeight="1" x14ac:dyDescent="0.25">
      <c r="A56" s="61" t="s">
        <v>35</v>
      </c>
      <c r="B56" s="61"/>
      <c r="C56" s="19" t="s">
        <v>70</v>
      </c>
      <c r="D56" s="75"/>
      <c r="E56" s="76"/>
      <c r="F56" s="76"/>
      <c r="G56" s="76"/>
      <c r="H56" s="76"/>
      <c r="I56" s="76"/>
      <c r="J56" s="77"/>
      <c r="K56" s="62">
        <f>SUM(K57,L57,Q57)</f>
        <v>7414.2106229359997</v>
      </c>
      <c r="L56" s="62"/>
      <c r="M56" s="62"/>
      <c r="N56" s="62"/>
      <c r="O56" s="62"/>
      <c r="P56" s="62"/>
      <c r="Q56" s="62"/>
      <c r="R56" s="62">
        <f>SUM(R57,S57,X57)</f>
        <v>4181.8657441999994</v>
      </c>
      <c r="S56" s="62"/>
      <c r="T56" s="62"/>
      <c r="U56" s="62"/>
      <c r="V56" s="62"/>
      <c r="W56" s="62"/>
      <c r="X56" s="62"/>
      <c r="Y56" s="62">
        <f>SUM(Y57,Z57,AE57)</f>
        <v>3454.05392437</v>
      </c>
      <c r="Z56" s="62"/>
      <c r="AA56" s="62"/>
      <c r="AB56" s="62"/>
      <c r="AC56" s="62"/>
      <c r="AD56" s="62"/>
      <c r="AE56" s="62"/>
      <c r="AF56" s="19"/>
      <c r="AG56" s="69"/>
      <c r="AH56" s="70"/>
      <c r="AI56" s="8"/>
    </row>
    <row r="57" spans="1:55" ht="24.75" customHeight="1" x14ac:dyDescent="0.25">
      <c r="A57" s="61"/>
      <c r="B57" s="61"/>
      <c r="C57" s="19" t="s">
        <v>8</v>
      </c>
      <c r="D57" s="75"/>
      <c r="E57" s="76"/>
      <c r="F57" s="76"/>
      <c r="G57" s="76"/>
      <c r="H57" s="76"/>
      <c r="I57" s="76"/>
      <c r="J57" s="77"/>
      <c r="K57" s="36">
        <f t="shared" ref="K57:P57" si="79">K29+K39+K42+K51</f>
        <v>6535.4380000000001</v>
      </c>
      <c r="L57" s="36">
        <f t="shared" si="79"/>
        <v>738.87262293599986</v>
      </c>
      <c r="M57" s="36">
        <f t="shared" si="79"/>
        <v>53.269199999999998</v>
      </c>
      <c r="N57" s="36">
        <f t="shared" si="79"/>
        <v>224</v>
      </c>
      <c r="O57" s="36">
        <f t="shared" si="79"/>
        <v>405</v>
      </c>
      <c r="P57" s="36">
        <f t="shared" si="79"/>
        <v>26.141752000000004</v>
      </c>
      <c r="Q57" s="36">
        <f>ROUNDUP(K57*2.14%,1)</f>
        <v>139.9</v>
      </c>
      <c r="R57" s="36">
        <f t="shared" ref="R57:W57" si="80">R29+R39+R42+R51</f>
        <v>3729</v>
      </c>
      <c r="S57" s="36">
        <f t="shared" si="80"/>
        <v>372.96574420000002</v>
      </c>
      <c r="T57" s="36">
        <f t="shared" si="80"/>
        <v>32.673400000000001</v>
      </c>
      <c r="U57" s="36">
        <f t="shared" si="80"/>
        <v>88</v>
      </c>
      <c r="V57" s="36">
        <f t="shared" si="80"/>
        <v>222</v>
      </c>
      <c r="W57" s="36">
        <f t="shared" si="80"/>
        <v>14.916</v>
      </c>
      <c r="X57" s="36">
        <f>ROUNDUP(R57*2.14%,1)</f>
        <v>79.899999999999991</v>
      </c>
      <c r="Y57" s="36">
        <f t="shared" ref="Y57:AD57" si="81">Y29+Y39+Y42+Y51</f>
        <v>3123</v>
      </c>
      <c r="Z57" s="36">
        <f t="shared" si="81"/>
        <v>264.15392437000003</v>
      </c>
      <c r="AA57" s="36">
        <f t="shared" si="81"/>
        <v>21.77159</v>
      </c>
      <c r="AB57" s="36">
        <f t="shared" si="81"/>
        <v>48</v>
      </c>
      <c r="AC57" s="36">
        <f t="shared" si="81"/>
        <v>171</v>
      </c>
      <c r="AD57" s="36">
        <f t="shared" si="81"/>
        <v>12.492000000000001</v>
      </c>
      <c r="AE57" s="36">
        <f>ROUNDUP(Y57*2.14%,1)</f>
        <v>66.899999999999991</v>
      </c>
      <c r="AF57" s="19"/>
      <c r="AG57" s="19"/>
      <c r="AH57" s="19"/>
      <c r="AI57" s="10"/>
    </row>
    <row r="58" spans="1:55" ht="41.25" customHeight="1" x14ac:dyDescent="0.25">
      <c r="A58" s="61" t="s">
        <v>36</v>
      </c>
      <c r="B58" s="61"/>
      <c r="C58" s="19" t="s">
        <v>70</v>
      </c>
      <c r="D58" s="62">
        <f>SUM(D59,E59,J59)</f>
        <v>10113.0987766</v>
      </c>
      <c r="E58" s="62"/>
      <c r="F58" s="62"/>
      <c r="G58" s="62"/>
      <c r="H58" s="62"/>
      <c r="I58" s="62"/>
      <c r="J58" s="62"/>
      <c r="K58" s="62">
        <f>SUM(K59,L59,Q59)</f>
        <v>9575.7821722120007</v>
      </c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19"/>
      <c r="AG58" s="69"/>
      <c r="AH58" s="70"/>
      <c r="AI58" s="8"/>
    </row>
    <row r="59" spans="1:55" ht="24.75" customHeight="1" x14ac:dyDescent="0.25">
      <c r="A59" s="61"/>
      <c r="B59" s="61"/>
      <c r="C59" s="19" t="s">
        <v>8</v>
      </c>
      <c r="D59" s="36">
        <f t="shared" ref="D59:I59" si="82">D32+D39+D42+D45</f>
        <v>8262</v>
      </c>
      <c r="E59" s="36">
        <f t="shared" si="82"/>
        <v>1674.1987766</v>
      </c>
      <c r="F59" s="36">
        <f t="shared" si="82"/>
        <v>108.12819999999999</v>
      </c>
      <c r="G59" s="36">
        <f t="shared" si="82"/>
        <v>500</v>
      </c>
      <c r="H59" s="36">
        <f t="shared" si="82"/>
        <v>964</v>
      </c>
      <c r="I59" s="36">
        <f t="shared" si="82"/>
        <v>33.048000000000002</v>
      </c>
      <c r="J59" s="36">
        <f>ROUNDUP(D59*2.14%,1)</f>
        <v>176.9</v>
      </c>
      <c r="K59" s="36">
        <f t="shared" ref="K59:P59" si="83">K32+K39+K42+K45</f>
        <v>8565.7710000000006</v>
      </c>
      <c r="L59" s="36">
        <f t="shared" si="83"/>
        <v>826.61117221199981</v>
      </c>
      <c r="M59" s="36">
        <f t="shared" si="83"/>
        <v>53.269199999999998</v>
      </c>
      <c r="N59" s="36">
        <f t="shared" si="83"/>
        <v>224</v>
      </c>
      <c r="O59" s="36">
        <f t="shared" si="83"/>
        <v>481</v>
      </c>
      <c r="P59" s="36">
        <f t="shared" si="83"/>
        <v>34.263083999999999</v>
      </c>
      <c r="Q59" s="36">
        <f>ROUNDUP(K59*2.14%,1)</f>
        <v>183.4</v>
      </c>
      <c r="R59" s="75"/>
      <c r="S59" s="76"/>
      <c r="T59" s="76"/>
      <c r="U59" s="76"/>
      <c r="V59" s="76"/>
      <c r="W59" s="76"/>
      <c r="X59" s="77"/>
      <c r="Y59" s="75"/>
      <c r="Z59" s="76"/>
      <c r="AA59" s="76"/>
      <c r="AB59" s="76"/>
      <c r="AC59" s="76"/>
      <c r="AD59" s="76"/>
      <c r="AE59" s="77"/>
      <c r="AF59" s="19"/>
      <c r="AG59" s="19"/>
      <c r="AH59" s="19"/>
      <c r="AI59" s="10"/>
    </row>
    <row r="60" spans="1:55" ht="41.25" customHeight="1" x14ac:dyDescent="0.25">
      <c r="A60" s="61" t="s">
        <v>37</v>
      </c>
      <c r="B60" s="61"/>
      <c r="C60" s="19" t="s">
        <v>70</v>
      </c>
      <c r="D60" s="62">
        <f>SUM(D61,E61,J61)</f>
        <v>10209.4909446</v>
      </c>
      <c r="E60" s="62"/>
      <c r="F60" s="62"/>
      <c r="G60" s="62"/>
      <c r="H60" s="62"/>
      <c r="I60" s="62"/>
      <c r="J60" s="62"/>
      <c r="K60" s="62">
        <f>SUM(K61,L61,Q61)</f>
        <v>9607.8027140920003</v>
      </c>
      <c r="L60" s="62"/>
      <c r="M60" s="62"/>
      <c r="N60" s="62"/>
      <c r="O60" s="62"/>
      <c r="P60" s="62"/>
      <c r="Q60" s="62"/>
      <c r="R60" s="62">
        <f>SUM(R61,S61,X61)</f>
        <v>5349.4394922000001</v>
      </c>
      <c r="S60" s="62"/>
      <c r="T60" s="62"/>
      <c r="U60" s="62"/>
      <c r="V60" s="62"/>
      <c r="W60" s="62"/>
      <c r="X60" s="62"/>
      <c r="Y60" s="62">
        <f>SUM(Y61,Z61,AE61)</f>
        <v>4114.6678003699999</v>
      </c>
      <c r="Z60" s="62"/>
      <c r="AA60" s="62"/>
      <c r="AB60" s="62"/>
      <c r="AC60" s="62"/>
      <c r="AD60" s="62"/>
      <c r="AE60" s="62"/>
      <c r="AF60" s="19"/>
      <c r="AG60" s="69"/>
      <c r="AH60" s="70"/>
      <c r="AI60" s="8"/>
    </row>
    <row r="61" spans="1:55" ht="24.75" customHeight="1" x14ac:dyDescent="0.25">
      <c r="A61" s="61"/>
      <c r="B61" s="61"/>
      <c r="C61" s="19" t="s">
        <v>8</v>
      </c>
      <c r="D61" s="36">
        <f t="shared" ref="D61:I61" si="84">D32+D39+D42+D48</f>
        <v>8356</v>
      </c>
      <c r="E61" s="36">
        <f t="shared" si="84"/>
        <v>1674.5909446000001</v>
      </c>
      <c r="F61" s="36">
        <f t="shared" si="84"/>
        <v>108.12819999999999</v>
      </c>
      <c r="G61" s="36">
        <f t="shared" si="84"/>
        <v>500</v>
      </c>
      <c r="H61" s="36">
        <f t="shared" si="84"/>
        <v>964</v>
      </c>
      <c r="I61" s="36">
        <f t="shared" si="84"/>
        <v>33.424000000000007</v>
      </c>
      <c r="J61" s="36">
        <f>ROUNDUP(D61*2.14%,1)</f>
        <v>178.9</v>
      </c>
      <c r="K61" s="36">
        <f t="shared" ref="K61:P61" si="85">K32+K39+K42+K48</f>
        <v>8597.0609999999997</v>
      </c>
      <c r="L61" s="36">
        <f t="shared" si="85"/>
        <v>826.74171409199982</v>
      </c>
      <c r="M61" s="36">
        <f t="shared" si="85"/>
        <v>53.269199999999998</v>
      </c>
      <c r="N61" s="36">
        <f t="shared" si="85"/>
        <v>224</v>
      </c>
      <c r="O61" s="36">
        <f t="shared" si="85"/>
        <v>481</v>
      </c>
      <c r="P61" s="36">
        <f t="shared" si="85"/>
        <v>34.388244</v>
      </c>
      <c r="Q61" s="36">
        <f>ROUNDUP(K61*2.14%,1)</f>
        <v>184</v>
      </c>
      <c r="R61" s="36">
        <f t="shared" ref="R61:W61" si="86">R32+R39+R42+R48</f>
        <v>4838</v>
      </c>
      <c r="S61" s="36">
        <f t="shared" si="86"/>
        <v>407.8394922</v>
      </c>
      <c r="T61" s="36">
        <f t="shared" si="86"/>
        <v>32.673400000000001</v>
      </c>
      <c r="U61" s="36">
        <f t="shared" si="86"/>
        <v>88</v>
      </c>
      <c r="V61" s="36">
        <f t="shared" si="86"/>
        <v>251</v>
      </c>
      <c r="W61" s="36">
        <f t="shared" si="86"/>
        <v>19.352</v>
      </c>
      <c r="X61" s="36">
        <f>ROUNDUP(R61*2.14%,1)</f>
        <v>103.6</v>
      </c>
      <c r="Y61" s="36">
        <f t="shared" ref="Y61:AD61" si="87">Y32+Y39+Y42+Y48</f>
        <v>3756</v>
      </c>
      <c r="Z61" s="36">
        <f t="shared" si="87"/>
        <v>278.26780036999997</v>
      </c>
      <c r="AA61" s="36">
        <f t="shared" si="87"/>
        <v>21.77159</v>
      </c>
      <c r="AB61" s="36">
        <f t="shared" si="87"/>
        <v>48</v>
      </c>
      <c r="AC61" s="36">
        <f t="shared" si="87"/>
        <v>182</v>
      </c>
      <c r="AD61" s="36">
        <f t="shared" si="87"/>
        <v>15.024000000000001</v>
      </c>
      <c r="AE61" s="36">
        <f>ROUNDUP(Y61*2.14%,1)</f>
        <v>80.399999999999991</v>
      </c>
      <c r="AF61" s="19"/>
      <c r="AG61" s="19"/>
      <c r="AH61" s="19"/>
      <c r="AI61" s="10"/>
    </row>
    <row r="62" spans="1:55" ht="41.25" customHeight="1" x14ac:dyDescent="0.25">
      <c r="A62" s="61" t="s">
        <v>38</v>
      </c>
      <c r="B62" s="61"/>
      <c r="C62" s="19" t="s">
        <v>70</v>
      </c>
      <c r="D62" s="75"/>
      <c r="E62" s="76"/>
      <c r="F62" s="76"/>
      <c r="G62" s="76"/>
      <c r="H62" s="76"/>
      <c r="I62" s="76"/>
      <c r="J62" s="77"/>
      <c r="K62" s="62">
        <f>SUM(K63,L63,Q63)</f>
        <v>9499.8202230959996</v>
      </c>
      <c r="L62" s="62"/>
      <c r="M62" s="62"/>
      <c r="N62" s="62"/>
      <c r="O62" s="62"/>
      <c r="P62" s="62"/>
      <c r="Q62" s="62"/>
      <c r="R62" s="62">
        <f>SUM(R63,S63,X63)</f>
        <v>5215.0929602000006</v>
      </c>
      <c r="S62" s="62"/>
      <c r="T62" s="62"/>
      <c r="U62" s="62"/>
      <c r="V62" s="62"/>
      <c r="W62" s="62"/>
      <c r="X62" s="62"/>
      <c r="Y62" s="62">
        <f>SUM(Y63,Z63,AE63)</f>
        <v>3487.0145363700003</v>
      </c>
      <c r="Z62" s="62"/>
      <c r="AA62" s="62"/>
      <c r="AB62" s="62"/>
      <c r="AC62" s="62"/>
      <c r="AD62" s="62"/>
      <c r="AE62" s="62"/>
      <c r="AF62" s="19"/>
      <c r="AG62" s="69"/>
      <c r="AH62" s="70"/>
      <c r="AI62" s="8"/>
    </row>
    <row r="63" spans="1:55" ht="24.75" customHeight="1" x14ac:dyDescent="0.25">
      <c r="A63" s="61"/>
      <c r="B63" s="61"/>
      <c r="C63" s="19" t="s">
        <v>8</v>
      </c>
      <c r="D63" s="75"/>
      <c r="E63" s="76"/>
      <c r="F63" s="76"/>
      <c r="G63" s="76"/>
      <c r="H63" s="76"/>
      <c r="I63" s="76"/>
      <c r="J63" s="77"/>
      <c r="K63" s="36">
        <f t="shared" ref="K63:P63" si="88">K32+K39+K42+K51</f>
        <v>8491.7180000000008</v>
      </c>
      <c r="L63" s="36">
        <f t="shared" si="88"/>
        <v>826.30222309599981</v>
      </c>
      <c r="M63" s="36">
        <f t="shared" si="88"/>
        <v>53.269199999999998</v>
      </c>
      <c r="N63" s="36">
        <f t="shared" si="88"/>
        <v>224</v>
      </c>
      <c r="O63" s="36">
        <f t="shared" si="88"/>
        <v>481</v>
      </c>
      <c r="P63" s="36">
        <f t="shared" si="88"/>
        <v>33.966872000000002</v>
      </c>
      <c r="Q63" s="36">
        <f>ROUNDUP(K63*2.14%,1)</f>
        <v>181.79999999999998</v>
      </c>
      <c r="R63" s="36">
        <f t="shared" ref="R63:W63" si="89">R32+R39+R42+R51</f>
        <v>4707</v>
      </c>
      <c r="S63" s="36">
        <f t="shared" si="89"/>
        <v>407.29296019999998</v>
      </c>
      <c r="T63" s="36">
        <f t="shared" si="89"/>
        <v>32.673400000000001</v>
      </c>
      <c r="U63" s="36">
        <f t="shared" si="89"/>
        <v>88</v>
      </c>
      <c r="V63" s="36">
        <f t="shared" si="89"/>
        <v>251</v>
      </c>
      <c r="W63" s="36">
        <f t="shared" si="89"/>
        <v>18.827999999999999</v>
      </c>
      <c r="X63" s="36">
        <f>ROUNDUP(R63*2.14%,1)</f>
        <v>100.8</v>
      </c>
      <c r="Y63" s="36">
        <f t="shared" ref="Y63:AD63" si="90">Y32+Y39+Y42+Y51</f>
        <v>3144</v>
      </c>
      <c r="Z63" s="36">
        <f t="shared" si="90"/>
        <v>275.71453637000002</v>
      </c>
      <c r="AA63" s="36">
        <f t="shared" si="90"/>
        <v>21.77159</v>
      </c>
      <c r="AB63" s="36">
        <f t="shared" si="90"/>
        <v>48</v>
      </c>
      <c r="AC63" s="36">
        <f t="shared" si="90"/>
        <v>182</v>
      </c>
      <c r="AD63" s="36">
        <f t="shared" si="90"/>
        <v>12.576000000000001</v>
      </c>
      <c r="AE63" s="36">
        <f>ROUNDUP(Y63*2.14%,1)</f>
        <v>67.3</v>
      </c>
      <c r="AF63" s="19"/>
      <c r="AG63" s="3"/>
      <c r="AH63" s="1"/>
      <c r="AI63" s="9"/>
    </row>
    <row r="64" spans="1:55" ht="41.25" customHeight="1" x14ac:dyDescent="0.25">
      <c r="A64" s="71" t="s">
        <v>39</v>
      </c>
      <c r="B64" s="72"/>
      <c r="C64" s="19" t="s">
        <v>70</v>
      </c>
      <c r="D64" s="62">
        <f>SUM(D65,E65,J65)</f>
        <v>7324.7643904500001</v>
      </c>
      <c r="E64" s="62"/>
      <c r="F64" s="62"/>
      <c r="G64" s="62"/>
      <c r="H64" s="62"/>
      <c r="I64" s="62"/>
      <c r="J64" s="62"/>
      <c r="K64" s="62">
        <f>SUM(K65,L65,Q65)</f>
        <v>6646.1727076179995</v>
      </c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75"/>
      <c r="Z64" s="76"/>
      <c r="AA64" s="76"/>
      <c r="AB64" s="76"/>
      <c r="AC64" s="76"/>
      <c r="AD64" s="76"/>
      <c r="AE64" s="77"/>
      <c r="AF64" s="19"/>
      <c r="AG64" s="69"/>
      <c r="AH64" s="70"/>
      <c r="AI64" s="8"/>
    </row>
    <row r="65" spans="1:35" ht="24.75" customHeight="1" x14ac:dyDescent="0.25">
      <c r="A65" s="73"/>
      <c r="B65" s="74"/>
      <c r="C65" s="19" t="s">
        <v>8</v>
      </c>
      <c r="D65" s="36">
        <f t="shared" ref="D65:I65" si="91">D29+D42+D45</f>
        <v>6035.5</v>
      </c>
      <c r="E65" s="36">
        <f t="shared" si="91"/>
        <v>1160.06439045</v>
      </c>
      <c r="F65" s="36">
        <f t="shared" si="91"/>
        <v>81.096149999999994</v>
      </c>
      <c r="G65" s="36">
        <f t="shared" si="91"/>
        <v>375</v>
      </c>
      <c r="H65" s="36">
        <f t="shared" si="91"/>
        <v>632</v>
      </c>
      <c r="I65" s="36">
        <f t="shared" si="91"/>
        <v>24.142000000000003</v>
      </c>
      <c r="J65" s="36">
        <f>ROUNDUP(D65*2.14%,1)</f>
        <v>129.19999999999999</v>
      </c>
      <c r="K65" s="36">
        <f t="shared" ref="K65:P65" si="92">K29+K42+K45</f>
        <v>5940.4065000000001</v>
      </c>
      <c r="L65" s="36">
        <f t="shared" si="92"/>
        <v>578.56620761799991</v>
      </c>
      <c r="M65" s="36">
        <f t="shared" si="92"/>
        <v>39.951899999999995</v>
      </c>
      <c r="N65" s="36">
        <f t="shared" si="92"/>
        <v>168</v>
      </c>
      <c r="O65" s="36">
        <f t="shared" si="92"/>
        <v>323</v>
      </c>
      <c r="P65" s="36">
        <f t="shared" si="92"/>
        <v>23.761626</v>
      </c>
      <c r="Q65" s="36">
        <f>ROUNDUP(K65*2.14%,1)</f>
        <v>127.19999999999999</v>
      </c>
      <c r="R65" s="75"/>
      <c r="S65" s="76"/>
      <c r="T65" s="76"/>
      <c r="U65" s="76"/>
      <c r="V65" s="76"/>
      <c r="W65" s="76"/>
      <c r="X65" s="77"/>
      <c r="Y65" s="75"/>
      <c r="Z65" s="76"/>
      <c r="AA65" s="76"/>
      <c r="AB65" s="76"/>
      <c r="AC65" s="76"/>
      <c r="AD65" s="76"/>
      <c r="AE65" s="77"/>
      <c r="AF65" s="19"/>
      <c r="AG65" s="3"/>
      <c r="AH65" s="1"/>
      <c r="AI65" s="9"/>
    </row>
    <row r="66" spans="1:35" ht="41.25" customHeight="1" x14ac:dyDescent="0.25">
      <c r="A66" s="71" t="s">
        <v>40</v>
      </c>
      <c r="B66" s="72"/>
      <c r="C66" s="19" t="s">
        <v>49</v>
      </c>
      <c r="D66" s="62">
        <f>SUM(D67,E67,J67)</f>
        <v>7421.1565584499995</v>
      </c>
      <c r="E66" s="62"/>
      <c r="F66" s="62"/>
      <c r="G66" s="62"/>
      <c r="H66" s="62"/>
      <c r="I66" s="62"/>
      <c r="J66" s="62"/>
      <c r="K66" s="62">
        <f>SUM(K67,L67,Q67)</f>
        <v>6678.1932494980001</v>
      </c>
      <c r="L66" s="62"/>
      <c r="M66" s="62"/>
      <c r="N66" s="62"/>
      <c r="O66" s="62"/>
      <c r="P66" s="62"/>
      <c r="Q66" s="62"/>
      <c r="R66" s="62">
        <f>SUM(R67,S67,X67)</f>
        <v>3736.2550951500002</v>
      </c>
      <c r="S66" s="62"/>
      <c r="T66" s="62"/>
      <c r="U66" s="62"/>
      <c r="V66" s="62"/>
      <c r="W66" s="62"/>
      <c r="X66" s="62"/>
      <c r="Y66" s="62">
        <f>SUM(Y67,Z67,AE67)</f>
        <v>3561.8007602775001</v>
      </c>
      <c r="Z66" s="62"/>
      <c r="AA66" s="62"/>
      <c r="AB66" s="62"/>
      <c r="AC66" s="62"/>
      <c r="AD66" s="62"/>
      <c r="AE66" s="62"/>
      <c r="AF66" s="19"/>
      <c r="AG66" s="69"/>
      <c r="AH66" s="70"/>
      <c r="AI66" s="8"/>
    </row>
    <row r="67" spans="1:35" ht="24.75" customHeight="1" x14ac:dyDescent="0.25">
      <c r="A67" s="73"/>
      <c r="B67" s="74"/>
      <c r="C67" s="19" t="s">
        <v>8</v>
      </c>
      <c r="D67" s="36">
        <f t="shared" ref="D67:I67" si="93">D29+D42+D48</f>
        <v>6129.5</v>
      </c>
      <c r="E67" s="36">
        <f t="shared" si="93"/>
        <v>1160.4565584500001</v>
      </c>
      <c r="F67" s="36">
        <f t="shared" si="93"/>
        <v>81.096149999999994</v>
      </c>
      <c r="G67" s="36">
        <f t="shared" si="93"/>
        <v>375</v>
      </c>
      <c r="H67" s="36">
        <f t="shared" si="93"/>
        <v>632</v>
      </c>
      <c r="I67" s="36">
        <f t="shared" si="93"/>
        <v>24.518000000000001</v>
      </c>
      <c r="J67" s="36">
        <f>ROUNDUP(D67*2.14%,1)</f>
        <v>131.19999999999999</v>
      </c>
      <c r="K67" s="36">
        <f t="shared" ref="K67:P67" si="94">K29+K42+K48</f>
        <v>5971.6965</v>
      </c>
      <c r="L67" s="36">
        <f t="shared" si="94"/>
        <v>578.69674949799992</v>
      </c>
      <c r="M67" s="36">
        <f t="shared" si="94"/>
        <v>39.951899999999995</v>
      </c>
      <c r="N67" s="36">
        <f t="shared" si="94"/>
        <v>168</v>
      </c>
      <c r="O67" s="36">
        <f t="shared" si="94"/>
        <v>323</v>
      </c>
      <c r="P67" s="36">
        <f t="shared" si="94"/>
        <v>23.886786000000001</v>
      </c>
      <c r="Q67" s="36">
        <f>ROUNDUP(K67*2.14%,1)</f>
        <v>127.8</v>
      </c>
      <c r="R67" s="36">
        <f t="shared" ref="R67:W67" si="95">R29+R42+R48</f>
        <v>3374</v>
      </c>
      <c r="S67" s="36">
        <f t="shared" si="95"/>
        <v>289.95509515000003</v>
      </c>
      <c r="T67" s="36">
        <f t="shared" si="95"/>
        <v>24.505050000000001</v>
      </c>
      <c r="U67" s="36">
        <f t="shared" si="95"/>
        <v>66</v>
      </c>
      <c r="V67" s="36">
        <f t="shared" si="95"/>
        <v>174</v>
      </c>
      <c r="W67" s="36">
        <f t="shared" si="95"/>
        <v>13.496</v>
      </c>
      <c r="X67" s="36">
        <f>ROUNDUP(R67*2.14%,1)</f>
        <v>72.3</v>
      </c>
      <c r="Y67" s="36">
        <f t="shared" ref="Y67:AD67" si="96">Y29+Y42+Y48</f>
        <v>3284.5</v>
      </c>
      <c r="Z67" s="36">
        <f t="shared" si="96"/>
        <v>207.00076027749998</v>
      </c>
      <c r="AA67" s="36">
        <f t="shared" si="96"/>
        <v>16.328692499999999</v>
      </c>
      <c r="AB67" s="36">
        <f t="shared" si="96"/>
        <v>36</v>
      </c>
      <c r="AC67" s="36">
        <f t="shared" si="96"/>
        <v>133</v>
      </c>
      <c r="AD67" s="36">
        <f t="shared" si="96"/>
        <v>13.138000000000002</v>
      </c>
      <c r="AE67" s="36">
        <f>ROUNDUP(Y67*2.14%,1)</f>
        <v>70.3</v>
      </c>
      <c r="AF67" s="19"/>
      <c r="AG67" s="19"/>
      <c r="AH67" s="19"/>
      <c r="AI67" s="10"/>
    </row>
    <row r="68" spans="1:35" ht="41.25" customHeight="1" x14ac:dyDescent="0.25">
      <c r="A68" s="71" t="s">
        <v>41</v>
      </c>
      <c r="B68" s="72"/>
      <c r="C68" s="19" t="s">
        <v>49</v>
      </c>
      <c r="D68" s="75"/>
      <c r="E68" s="76"/>
      <c r="F68" s="76"/>
      <c r="G68" s="76"/>
      <c r="H68" s="76"/>
      <c r="I68" s="76"/>
      <c r="J68" s="77"/>
      <c r="K68" s="62">
        <f>SUM(K69,L69,Q69)</f>
        <v>6570.2107585020003</v>
      </c>
      <c r="L68" s="62"/>
      <c r="M68" s="62"/>
      <c r="N68" s="62"/>
      <c r="O68" s="62"/>
      <c r="P68" s="62"/>
      <c r="Q68" s="62"/>
      <c r="R68" s="62">
        <f>SUM(R69,S69,X69)</f>
        <v>3601.9085631500002</v>
      </c>
      <c r="S68" s="62"/>
      <c r="T68" s="62"/>
      <c r="U68" s="62"/>
      <c r="V68" s="62"/>
      <c r="W68" s="62"/>
      <c r="X68" s="62"/>
      <c r="Y68" s="62">
        <f>SUM(Y69,Z69,AE69)</f>
        <v>2934.1474962774996</v>
      </c>
      <c r="Z68" s="62"/>
      <c r="AA68" s="62"/>
      <c r="AB68" s="62"/>
      <c r="AC68" s="62"/>
      <c r="AD68" s="62"/>
      <c r="AE68" s="62"/>
      <c r="AF68" s="19"/>
      <c r="AG68" s="69"/>
      <c r="AH68" s="70"/>
      <c r="AI68" s="8"/>
    </row>
    <row r="69" spans="1:35" ht="24.75" customHeight="1" x14ac:dyDescent="0.25">
      <c r="A69" s="73"/>
      <c r="B69" s="74"/>
      <c r="C69" s="19" t="s">
        <v>8</v>
      </c>
      <c r="D69" s="75"/>
      <c r="E69" s="76"/>
      <c r="F69" s="76"/>
      <c r="G69" s="76"/>
      <c r="H69" s="76"/>
      <c r="I69" s="76"/>
      <c r="J69" s="77"/>
      <c r="K69" s="36">
        <f t="shared" ref="K69:P69" si="97">K29+K42+K51</f>
        <v>5866.3535000000002</v>
      </c>
      <c r="L69" s="36">
        <f t="shared" si="97"/>
        <v>578.2572585019999</v>
      </c>
      <c r="M69" s="36">
        <f t="shared" si="97"/>
        <v>39.951899999999995</v>
      </c>
      <c r="N69" s="36">
        <f t="shared" si="97"/>
        <v>168</v>
      </c>
      <c r="O69" s="36">
        <f t="shared" si="97"/>
        <v>323</v>
      </c>
      <c r="P69" s="36">
        <f t="shared" si="97"/>
        <v>23.465414000000003</v>
      </c>
      <c r="Q69" s="36">
        <f>ROUNDUP(K69*2.14%,1)</f>
        <v>125.6</v>
      </c>
      <c r="R69" s="36">
        <f t="shared" ref="R69:W69" si="98">R29+R42+R51</f>
        <v>3243</v>
      </c>
      <c r="S69" s="36">
        <f t="shared" si="98"/>
        <v>289.40856315000002</v>
      </c>
      <c r="T69" s="36">
        <f t="shared" si="98"/>
        <v>24.505050000000001</v>
      </c>
      <c r="U69" s="36">
        <f t="shared" si="98"/>
        <v>66</v>
      </c>
      <c r="V69" s="36">
        <f t="shared" si="98"/>
        <v>174</v>
      </c>
      <c r="W69" s="36">
        <f t="shared" si="98"/>
        <v>12.972000000000001</v>
      </c>
      <c r="X69" s="36">
        <f>ROUNDUP(R69*2.14%,1)</f>
        <v>69.5</v>
      </c>
      <c r="Y69" s="36">
        <f t="shared" ref="Y69:AD69" si="99">Y29+Y42+Y51</f>
        <v>2672.5</v>
      </c>
      <c r="Z69" s="36">
        <f t="shared" si="99"/>
        <v>204.44749627749999</v>
      </c>
      <c r="AA69" s="36">
        <f t="shared" si="99"/>
        <v>16.328692499999999</v>
      </c>
      <c r="AB69" s="36">
        <f t="shared" si="99"/>
        <v>36</v>
      </c>
      <c r="AC69" s="36">
        <f t="shared" si="99"/>
        <v>133</v>
      </c>
      <c r="AD69" s="36">
        <f t="shared" si="99"/>
        <v>10.690000000000001</v>
      </c>
      <c r="AE69" s="36">
        <f>ROUNDUP(Y69*2.14%,1)</f>
        <v>57.2</v>
      </c>
      <c r="AF69" s="19"/>
      <c r="AG69" s="19"/>
      <c r="AH69" s="19"/>
      <c r="AI69" s="10"/>
    </row>
    <row r="70" spans="1:35" ht="41.25" customHeight="1" x14ac:dyDescent="0.25">
      <c r="A70" s="71" t="s">
        <v>42</v>
      </c>
      <c r="B70" s="72"/>
      <c r="C70" s="19" t="s">
        <v>49</v>
      </c>
      <c r="D70" s="62">
        <f>SUM(D71,E71,J71)</f>
        <v>9141.1130424499988</v>
      </c>
      <c r="E70" s="62"/>
      <c r="F70" s="62"/>
      <c r="G70" s="62"/>
      <c r="H70" s="62"/>
      <c r="I70" s="62"/>
      <c r="J70" s="62"/>
      <c r="K70" s="62">
        <f>SUM(K71,L71,Q71)</f>
        <v>8731.6823077779991</v>
      </c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19"/>
      <c r="AG70" s="69"/>
      <c r="AH70" s="70"/>
      <c r="AI70" s="8"/>
    </row>
    <row r="71" spans="1:35" ht="24.75" customHeight="1" x14ac:dyDescent="0.25">
      <c r="A71" s="73"/>
      <c r="B71" s="74"/>
      <c r="C71" s="19" t="s">
        <v>8</v>
      </c>
      <c r="D71" s="36">
        <f t="shared" ref="D71:I71" si="100">D32+D42+D45</f>
        <v>7626.5</v>
      </c>
      <c r="E71" s="36">
        <f t="shared" si="100"/>
        <v>1351.31304245</v>
      </c>
      <c r="F71" s="36">
        <f t="shared" si="100"/>
        <v>81.096149999999994</v>
      </c>
      <c r="G71" s="36">
        <f t="shared" si="100"/>
        <v>375</v>
      </c>
      <c r="H71" s="36">
        <f t="shared" si="100"/>
        <v>809</v>
      </c>
      <c r="I71" s="36">
        <f t="shared" si="100"/>
        <v>30.506</v>
      </c>
      <c r="J71" s="36">
        <f>ROUNDUP(D71*2.14%,1)</f>
        <v>163.29999999999998</v>
      </c>
      <c r="K71" s="36">
        <f t="shared" ref="K71:P71" si="101">K32+K42+K45</f>
        <v>7896.6864999999998</v>
      </c>
      <c r="L71" s="36">
        <f t="shared" si="101"/>
        <v>665.99580777799986</v>
      </c>
      <c r="M71" s="36">
        <f t="shared" si="101"/>
        <v>39.951899999999995</v>
      </c>
      <c r="N71" s="36">
        <f t="shared" si="101"/>
        <v>168</v>
      </c>
      <c r="O71" s="36">
        <f t="shared" si="101"/>
        <v>399</v>
      </c>
      <c r="P71" s="36">
        <f t="shared" si="101"/>
        <v>31.586745999999998</v>
      </c>
      <c r="Q71" s="36">
        <f>ROUNDUP(K71*2.14%,1)</f>
        <v>169</v>
      </c>
      <c r="R71" s="75"/>
      <c r="S71" s="76"/>
      <c r="T71" s="76"/>
      <c r="U71" s="76"/>
      <c r="V71" s="76"/>
      <c r="W71" s="76"/>
      <c r="X71" s="77"/>
      <c r="Y71" s="75"/>
      <c r="Z71" s="76"/>
      <c r="AA71" s="76"/>
      <c r="AB71" s="76"/>
      <c r="AC71" s="76"/>
      <c r="AD71" s="76"/>
      <c r="AE71" s="77"/>
      <c r="AF71" s="19"/>
      <c r="AG71" s="19"/>
      <c r="AH71" s="19"/>
      <c r="AI71" s="10"/>
    </row>
    <row r="72" spans="1:35" ht="41.25" customHeight="1" x14ac:dyDescent="0.25">
      <c r="A72" s="71" t="s">
        <v>43</v>
      </c>
      <c r="B72" s="72"/>
      <c r="C72" s="19" t="s">
        <v>70</v>
      </c>
      <c r="D72" s="62">
        <f>SUM(D73,E73,J73)</f>
        <v>9237.5052104499991</v>
      </c>
      <c r="E72" s="62"/>
      <c r="F72" s="62"/>
      <c r="G72" s="62"/>
      <c r="H72" s="62"/>
      <c r="I72" s="62"/>
      <c r="J72" s="62"/>
      <c r="K72" s="62">
        <f>SUM(K73,L73,Q73)</f>
        <v>8763.8028496580009</v>
      </c>
      <c r="L72" s="62"/>
      <c r="M72" s="62"/>
      <c r="N72" s="62"/>
      <c r="O72" s="62"/>
      <c r="P72" s="62"/>
      <c r="Q72" s="62"/>
      <c r="R72" s="62">
        <f>SUM(R73,S73,X73)</f>
        <v>4769.48231115</v>
      </c>
      <c r="S72" s="62"/>
      <c r="T72" s="62"/>
      <c r="U72" s="62"/>
      <c r="V72" s="62"/>
      <c r="W72" s="62"/>
      <c r="X72" s="62"/>
      <c r="Y72" s="62">
        <f>SUM(Y73,Z73,AE73)</f>
        <v>3594.8613722775003</v>
      </c>
      <c r="Z72" s="62"/>
      <c r="AA72" s="62"/>
      <c r="AB72" s="62"/>
      <c r="AC72" s="62"/>
      <c r="AD72" s="62"/>
      <c r="AE72" s="62"/>
      <c r="AF72" s="19"/>
      <c r="AG72" s="69"/>
      <c r="AH72" s="70"/>
      <c r="AI72" s="8"/>
    </row>
    <row r="73" spans="1:35" ht="24.75" customHeight="1" x14ac:dyDescent="0.25">
      <c r="A73" s="73"/>
      <c r="B73" s="74"/>
      <c r="C73" s="19" t="s">
        <v>8</v>
      </c>
      <c r="D73" s="36">
        <f t="shared" ref="D73:I73" si="102">D32+D42+D48</f>
        <v>7720.5</v>
      </c>
      <c r="E73" s="36">
        <f t="shared" si="102"/>
        <v>1351.7052104500001</v>
      </c>
      <c r="F73" s="36">
        <f t="shared" si="102"/>
        <v>81.096149999999994</v>
      </c>
      <c r="G73" s="36">
        <f t="shared" si="102"/>
        <v>375</v>
      </c>
      <c r="H73" s="36">
        <f t="shared" si="102"/>
        <v>809</v>
      </c>
      <c r="I73" s="36">
        <f t="shared" si="102"/>
        <v>30.882000000000001</v>
      </c>
      <c r="J73" s="36">
        <f>ROUNDUP(D73*2.14%,1)</f>
        <v>165.29999999999998</v>
      </c>
      <c r="K73" s="36">
        <f t="shared" ref="K73:P73" si="103">K32+K42+K48</f>
        <v>7927.9764999999998</v>
      </c>
      <c r="L73" s="36">
        <f t="shared" si="103"/>
        <v>666.12634965799987</v>
      </c>
      <c r="M73" s="36">
        <f t="shared" si="103"/>
        <v>39.951899999999995</v>
      </c>
      <c r="N73" s="36">
        <f t="shared" si="103"/>
        <v>168</v>
      </c>
      <c r="O73" s="36">
        <f t="shared" si="103"/>
        <v>399</v>
      </c>
      <c r="P73" s="36">
        <f t="shared" si="103"/>
        <v>31.711905999999999</v>
      </c>
      <c r="Q73" s="36">
        <f>ROUNDUP(K73*2.14%,1)</f>
        <v>169.7</v>
      </c>
      <c r="R73" s="36">
        <f t="shared" ref="R73:W73" si="104">R32+R42+R48</f>
        <v>4352</v>
      </c>
      <c r="S73" s="36">
        <f t="shared" si="104"/>
        <v>324.28231115</v>
      </c>
      <c r="T73" s="36">
        <f t="shared" si="104"/>
        <v>24.505050000000001</v>
      </c>
      <c r="U73" s="36">
        <f t="shared" si="104"/>
        <v>66</v>
      </c>
      <c r="V73" s="36">
        <f t="shared" si="104"/>
        <v>203</v>
      </c>
      <c r="W73" s="36">
        <f t="shared" si="104"/>
        <v>17.408000000000001</v>
      </c>
      <c r="X73" s="36">
        <f>ROUNDUP(R73*2.14%,1)</f>
        <v>93.199999999999989</v>
      </c>
      <c r="Y73" s="36">
        <f t="shared" ref="Y73:AD73" si="105">Y32+Y42+Y48</f>
        <v>3305.5</v>
      </c>
      <c r="Z73" s="36">
        <f t="shared" si="105"/>
        <v>218.56137227749997</v>
      </c>
      <c r="AA73" s="36">
        <f t="shared" si="105"/>
        <v>16.328692499999999</v>
      </c>
      <c r="AB73" s="36">
        <f t="shared" si="105"/>
        <v>36</v>
      </c>
      <c r="AC73" s="36">
        <f t="shared" si="105"/>
        <v>144</v>
      </c>
      <c r="AD73" s="36">
        <f t="shared" si="105"/>
        <v>13.222000000000001</v>
      </c>
      <c r="AE73" s="36">
        <f>ROUNDUP(Y73*2.14%,1)</f>
        <v>70.8</v>
      </c>
      <c r="AF73" s="19"/>
      <c r="AG73" s="19"/>
      <c r="AH73" s="19"/>
      <c r="AI73" s="10"/>
    </row>
    <row r="74" spans="1:35" ht="41.25" customHeight="1" x14ac:dyDescent="0.25">
      <c r="A74" s="71" t="s">
        <v>44</v>
      </c>
      <c r="B74" s="72"/>
      <c r="C74" s="19" t="s">
        <v>70</v>
      </c>
      <c r="D74" s="75"/>
      <c r="E74" s="76"/>
      <c r="F74" s="76"/>
      <c r="G74" s="76"/>
      <c r="H74" s="76"/>
      <c r="I74" s="76"/>
      <c r="J74" s="77"/>
      <c r="K74" s="62">
        <f>SUM(K75,L75,Q75)</f>
        <v>8655.8203586620002</v>
      </c>
      <c r="L74" s="62"/>
      <c r="M74" s="62"/>
      <c r="N74" s="62"/>
      <c r="O74" s="62"/>
      <c r="P74" s="62"/>
      <c r="Q74" s="62"/>
      <c r="R74" s="62">
        <f>SUM(R75,S75,X75)</f>
        <v>4635.1357791499995</v>
      </c>
      <c r="S74" s="62"/>
      <c r="T74" s="62"/>
      <c r="U74" s="62"/>
      <c r="V74" s="62"/>
      <c r="W74" s="62"/>
      <c r="X74" s="62"/>
      <c r="Y74" s="62">
        <f>SUM(Y75,Z75,AE75)</f>
        <v>2967.2081082774998</v>
      </c>
      <c r="Z74" s="62"/>
      <c r="AA74" s="62"/>
      <c r="AB74" s="62"/>
      <c r="AC74" s="62"/>
      <c r="AD74" s="62"/>
      <c r="AE74" s="62"/>
      <c r="AF74" s="19"/>
      <c r="AG74" s="69"/>
      <c r="AH74" s="70"/>
      <c r="AI74" s="8"/>
    </row>
    <row r="75" spans="1:35" ht="24.75" customHeight="1" x14ac:dyDescent="0.25">
      <c r="A75" s="73"/>
      <c r="B75" s="74"/>
      <c r="C75" s="19" t="s">
        <v>8</v>
      </c>
      <c r="D75" s="75"/>
      <c r="E75" s="76"/>
      <c r="F75" s="76"/>
      <c r="G75" s="76"/>
      <c r="H75" s="76"/>
      <c r="I75" s="76"/>
      <c r="J75" s="77"/>
      <c r="K75" s="36">
        <f t="shared" ref="K75:P75" si="106">K32+K42+K51</f>
        <v>7822.6334999999999</v>
      </c>
      <c r="L75" s="36">
        <f t="shared" si="106"/>
        <v>665.68685866199985</v>
      </c>
      <c r="M75" s="36">
        <f t="shared" si="106"/>
        <v>39.951899999999995</v>
      </c>
      <c r="N75" s="36">
        <f t="shared" si="106"/>
        <v>168</v>
      </c>
      <c r="O75" s="36">
        <f t="shared" si="106"/>
        <v>399</v>
      </c>
      <c r="P75" s="36">
        <f t="shared" si="106"/>
        <v>31.290534000000001</v>
      </c>
      <c r="Q75" s="36">
        <f>ROUNDUP(K75*2.14%,1)</f>
        <v>167.5</v>
      </c>
      <c r="R75" s="36">
        <f t="shared" ref="R75:W75" si="107">R32+R42+R51</f>
        <v>4221</v>
      </c>
      <c r="S75" s="36">
        <f t="shared" si="107"/>
        <v>323.73577914999998</v>
      </c>
      <c r="T75" s="36">
        <f t="shared" si="107"/>
        <v>24.505050000000001</v>
      </c>
      <c r="U75" s="36">
        <f t="shared" si="107"/>
        <v>66</v>
      </c>
      <c r="V75" s="36">
        <f t="shared" si="107"/>
        <v>203</v>
      </c>
      <c r="W75" s="36">
        <f t="shared" si="107"/>
        <v>16.884</v>
      </c>
      <c r="X75" s="36">
        <f>ROUNDUP(R75*2.14%,1)</f>
        <v>90.399999999999991</v>
      </c>
      <c r="Y75" s="36">
        <f t="shared" ref="Y75:AD75" si="108">Y32+Y42+Y51</f>
        <v>2693.5</v>
      </c>
      <c r="Z75" s="36">
        <f t="shared" si="108"/>
        <v>216.00810827749999</v>
      </c>
      <c r="AA75" s="36">
        <f t="shared" si="108"/>
        <v>16.328692499999999</v>
      </c>
      <c r="AB75" s="36">
        <f t="shared" si="108"/>
        <v>36</v>
      </c>
      <c r="AC75" s="36">
        <f t="shared" si="108"/>
        <v>144</v>
      </c>
      <c r="AD75" s="36">
        <f t="shared" si="108"/>
        <v>10.774000000000001</v>
      </c>
      <c r="AE75" s="36">
        <f>ROUNDUP(Y75*2.14%,1)</f>
        <v>57.7</v>
      </c>
      <c r="AF75" s="19"/>
      <c r="AG75" s="3"/>
      <c r="AH75" s="1"/>
      <c r="AI75" s="9"/>
    </row>
    <row r="76" spans="1:35" ht="47.25" customHeight="1" x14ac:dyDescent="0.25">
      <c r="A76" s="61" t="s">
        <v>46</v>
      </c>
      <c r="B76" s="61"/>
      <c r="C76" s="19" t="s">
        <v>70</v>
      </c>
      <c r="D76" s="62">
        <f>SUM(D77,E77,J77)</f>
        <v>6693.8791725999999</v>
      </c>
      <c r="E76" s="62"/>
      <c r="F76" s="62"/>
      <c r="G76" s="62"/>
      <c r="H76" s="62"/>
      <c r="I76" s="62"/>
      <c r="J76" s="62"/>
      <c r="K76" s="62">
        <f>SUM(K77,L77,Q77)</f>
        <v>6603.7498756000005</v>
      </c>
      <c r="L76" s="62"/>
      <c r="M76" s="62"/>
      <c r="N76" s="62"/>
      <c r="O76" s="62"/>
      <c r="P76" s="62"/>
      <c r="Q76" s="62"/>
      <c r="R76" s="62">
        <f>SUM(R77,S77,X77)</f>
        <v>5225.7575281999998</v>
      </c>
      <c r="S76" s="62"/>
      <c r="T76" s="62"/>
      <c r="U76" s="62"/>
      <c r="V76" s="62"/>
      <c r="W76" s="62"/>
      <c r="X76" s="62"/>
      <c r="Y76" s="62">
        <f>SUM(Y77,Z77,AE77)</f>
        <v>5254.3986323700001</v>
      </c>
      <c r="Z76" s="62"/>
      <c r="AA76" s="62"/>
      <c r="AB76" s="62"/>
      <c r="AC76" s="62"/>
      <c r="AD76" s="62"/>
      <c r="AE76" s="62"/>
      <c r="AF76" s="19"/>
      <c r="AG76" s="69"/>
      <c r="AH76" s="70"/>
      <c r="AI76" s="8"/>
    </row>
    <row r="77" spans="1:35" ht="40.5" customHeight="1" x14ac:dyDescent="0.25">
      <c r="A77" s="61"/>
      <c r="B77" s="61"/>
      <c r="C77" s="19" t="s">
        <v>8</v>
      </c>
      <c r="D77" s="36">
        <f>D14+D20+D23+D26</f>
        <v>4805</v>
      </c>
      <c r="E77" s="36">
        <f>E14+E20+E23+E26</f>
        <v>1785.9791726000001</v>
      </c>
      <c r="F77" s="36">
        <f t="shared" ref="F77:I77" si="109">F14+F20+F23+F26</f>
        <v>108.12819999999999</v>
      </c>
      <c r="G77" s="36">
        <f t="shared" si="109"/>
        <v>500</v>
      </c>
      <c r="H77" s="36">
        <f t="shared" si="109"/>
        <v>1085</v>
      </c>
      <c r="I77" s="36">
        <f t="shared" si="109"/>
        <v>19.22</v>
      </c>
      <c r="J77" s="36">
        <f>ROUNDUP(D77*2.14%,1)</f>
        <v>102.89999999999999</v>
      </c>
      <c r="K77" s="36">
        <f>K14+K20+K23+K26</f>
        <v>5675</v>
      </c>
      <c r="L77" s="36">
        <f>L14+L20+L23+L26</f>
        <v>807.2498756</v>
      </c>
      <c r="M77" s="36">
        <f t="shared" ref="M77:P77" si="110">M14+M20+M23+M26</f>
        <v>53.269199999999998</v>
      </c>
      <c r="N77" s="36">
        <f t="shared" si="110"/>
        <v>224</v>
      </c>
      <c r="O77" s="36">
        <f t="shared" si="110"/>
        <v>474</v>
      </c>
      <c r="P77" s="36">
        <f t="shared" si="110"/>
        <v>22.700000000000003</v>
      </c>
      <c r="Q77" s="36">
        <f>ROUNDUP(K77*2.14%,1)</f>
        <v>121.5</v>
      </c>
      <c r="R77" s="36">
        <f>R14+R20+R23+R26</f>
        <v>4751</v>
      </c>
      <c r="S77" s="36">
        <f>S14+S20+S23+S26</f>
        <v>373.05752819999998</v>
      </c>
      <c r="T77" s="36">
        <f t="shared" ref="T77:W77" si="111">T14+T20+T23+T26</f>
        <v>32.673400000000001</v>
      </c>
      <c r="U77" s="36">
        <f t="shared" si="111"/>
        <v>88</v>
      </c>
      <c r="V77" s="36">
        <f t="shared" si="111"/>
        <v>218</v>
      </c>
      <c r="W77" s="36">
        <f t="shared" si="111"/>
        <v>19.003999999999998</v>
      </c>
      <c r="X77" s="36">
        <f>ROUNDUP(R77*2.14%,1)</f>
        <v>101.69999999999999</v>
      </c>
      <c r="Y77" s="36">
        <f>Y14+Y20+Y23+Y26</f>
        <v>4912</v>
      </c>
      <c r="Z77" s="36">
        <f>Z14+Z20+Z23+Z26</f>
        <v>237.19863236999998</v>
      </c>
      <c r="AA77" s="36">
        <f t="shared" ref="AA77:AD77" si="112">AA14+AA20+AA23+AA26</f>
        <v>21.77159</v>
      </c>
      <c r="AB77" s="36">
        <f t="shared" si="112"/>
        <v>48</v>
      </c>
      <c r="AC77" s="36">
        <f t="shared" si="112"/>
        <v>138</v>
      </c>
      <c r="AD77" s="36">
        <f t="shared" si="112"/>
        <v>19.648</v>
      </c>
      <c r="AE77" s="36">
        <f>ROUNDUP(Y77*2.14%,1)</f>
        <v>105.19999999999999</v>
      </c>
      <c r="AF77" s="19"/>
      <c r="AG77" s="3"/>
      <c r="AH77" s="1"/>
      <c r="AI77" s="9"/>
    </row>
    <row r="78" spans="1:35" ht="47.25" customHeight="1" x14ac:dyDescent="0.25">
      <c r="A78" s="61" t="s">
        <v>45</v>
      </c>
      <c r="B78" s="61"/>
      <c r="C78" s="19" t="s">
        <v>70</v>
      </c>
      <c r="D78" s="62">
        <f>SUM(D79,E79,J79)</f>
        <v>5191.1775524499999</v>
      </c>
      <c r="E78" s="62"/>
      <c r="F78" s="62"/>
      <c r="G78" s="62"/>
      <c r="H78" s="62"/>
      <c r="I78" s="62"/>
      <c r="J78" s="62"/>
      <c r="K78" s="62">
        <f>SUM(K79,L79,Q79)</f>
        <v>5053.6608597000004</v>
      </c>
      <c r="L78" s="62"/>
      <c r="M78" s="62"/>
      <c r="N78" s="62"/>
      <c r="O78" s="62"/>
      <c r="P78" s="62"/>
      <c r="Q78" s="62"/>
      <c r="R78" s="62">
        <f>SUM(R79,S79,X79)</f>
        <v>4098.0948431500001</v>
      </c>
      <c r="S78" s="62"/>
      <c r="T78" s="62"/>
      <c r="U78" s="62"/>
      <c r="V78" s="62"/>
      <c r="W78" s="62"/>
      <c r="X78" s="62"/>
      <c r="Y78" s="62">
        <f>SUM(Y79,Z79,AE79)</f>
        <v>4117.8321982774996</v>
      </c>
      <c r="Z78" s="62"/>
      <c r="AA78" s="62"/>
      <c r="AB78" s="62"/>
      <c r="AC78" s="62"/>
      <c r="AD78" s="62"/>
      <c r="AE78" s="62"/>
      <c r="AF78" s="19"/>
      <c r="AG78" s="69"/>
      <c r="AH78" s="70"/>
      <c r="AI78" s="8"/>
    </row>
    <row r="79" spans="1:35" ht="28.5" customHeight="1" x14ac:dyDescent="0.25">
      <c r="A79" s="61"/>
      <c r="B79" s="61"/>
      <c r="C79" s="19" t="s">
        <v>8</v>
      </c>
      <c r="D79" s="36">
        <f>D14+D20+D26</f>
        <v>3769</v>
      </c>
      <c r="E79" s="36">
        <f>E14+E20+E26</f>
        <v>1341.4775524500001</v>
      </c>
      <c r="F79" s="36">
        <f t="shared" ref="F79:I79" si="113">F14+F20+F26</f>
        <v>81.096149999999994</v>
      </c>
      <c r="G79" s="36">
        <f t="shared" si="113"/>
        <v>375</v>
      </c>
      <c r="H79" s="36">
        <f t="shared" si="113"/>
        <v>815</v>
      </c>
      <c r="I79" s="36">
        <f t="shared" si="113"/>
        <v>15.076000000000001</v>
      </c>
      <c r="J79" s="36">
        <f>ROUNDUP(D79*2.14%,1)</f>
        <v>80.699999999999989</v>
      </c>
      <c r="K79" s="36">
        <f>K14+K20+K26</f>
        <v>4349</v>
      </c>
      <c r="L79" s="36">
        <f>L14+L20+L26</f>
        <v>611.56085970000004</v>
      </c>
      <c r="M79" s="36">
        <f t="shared" ref="M79:P79" si="114">M14+M20+M26</f>
        <v>39.951899999999995</v>
      </c>
      <c r="N79" s="36">
        <f t="shared" si="114"/>
        <v>168</v>
      </c>
      <c r="O79" s="36">
        <f t="shared" si="114"/>
        <v>361</v>
      </c>
      <c r="P79" s="36">
        <f t="shared" si="114"/>
        <v>17.396000000000001</v>
      </c>
      <c r="Q79" s="36">
        <f>ROUNDUP(K79*2.14%,1)</f>
        <v>93.1</v>
      </c>
      <c r="R79" s="36">
        <f>R14+R20+R26</f>
        <v>3733</v>
      </c>
      <c r="S79" s="36">
        <f>S14+S20+S26</f>
        <v>285.19484315</v>
      </c>
      <c r="T79" s="36">
        <f t="shared" ref="T79:W79" si="115">T14+T20+T26</f>
        <v>24.505050000000001</v>
      </c>
      <c r="U79" s="36">
        <f t="shared" si="115"/>
        <v>66</v>
      </c>
      <c r="V79" s="36">
        <f t="shared" si="115"/>
        <v>168</v>
      </c>
      <c r="W79" s="36">
        <f t="shared" si="115"/>
        <v>14.931999999999999</v>
      </c>
      <c r="X79" s="36">
        <f>ROUNDUP(R79*2.14%,1)</f>
        <v>79.899999999999991</v>
      </c>
      <c r="Y79" s="36">
        <f>Y14+Y20+Y26</f>
        <v>3851</v>
      </c>
      <c r="Z79" s="36">
        <f>Z14+Z20+Z26</f>
        <v>184.3321982775</v>
      </c>
      <c r="AA79" s="36">
        <f t="shared" ref="AA79:AD79" si="116">AA14+AA20+AA26</f>
        <v>16.328692499999999</v>
      </c>
      <c r="AB79" s="36">
        <f t="shared" si="116"/>
        <v>36</v>
      </c>
      <c r="AC79" s="36">
        <f t="shared" si="116"/>
        <v>109</v>
      </c>
      <c r="AD79" s="36">
        <f t="shared" si="116"/>
        <v>15.404</v>
      </c>
      <c r="AE79" s="36">
        <f>ROUNDUP(Y79*2.14%,1)</f>
        <v>82.5</v>
      </c>
      <c r="AF79" s="19"/>
      <c r="AG79" s="3"/>
      <c r="AH79" s="1"/>
      <c r="AI79" s="9"/>
    </row>
    <row r="80" spans="1:35" ht="28.5" customHeight="1" x14ac:dyDescent="0.25">
      <c r="A80" s="10" t="s">
        <v>73</v>
      </c>
      <c r="B80" s="7"/>
      <c r="C80" s="10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0"/>
      <c r="AG80" s="8"/>
      <c r="AH80" s="57"/>
      <c r="AI80" s="9"/>
    </row>
    <row r="81" spans="1:56" ht="30" customHeight="1" x14ac:dyDescent="0.25">
      <c r="A81" s="59" t="s">
        <v>66</v>
      </c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20"/>
    </row>
    <row r="82" spans="1:56" s="54" customFormat="1" ht="30" customHeight="1" x14ac:dyDescent="0.25">
      <c r="A82" s="59" t="s">
        <v>68</v>
      </c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20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6"/>
      <c r="AZ82" s="56"/>
      <c r="BA82" s="56"/>
      <c r="BB82" s="56"/>
      <c r="BC82" s="56"/>
      <c r="BD82" s="56"/>
    </row>
    <row r="83" spans="1:56" ht="30" customHeight="1" x14ac:dyDescent="0.25">
      <c r="A83" s="60" t="s">
        <v>69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21"/>
    </row>
    <row r="84" spans="1:56" ht="37.5" customHeight="1" x14ac:dyDescent="0.25">
      <c r="A84" s="90" t="s">
        <v>82</v>
      </c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</row>
  </sheetData>
  <mergeCells count="230">
    <mergeCell ref="A84:AH84"/>
    <mergeCell ref="AG27:AH27"/>
    <mergeCell ref="AG18:AH18"/>
    <mergeCell ref="R30:X30"/>
    <mergeCell ref="Y30:AE30"/>
    <mergeCell ref="A2:AH2"/>
    <mergeCell ref="AF3:AH6"/>
    <mergeCell ref="AG9:AH9"/>
    <mergeCell ref="AG15:AH15"/>
    <mergeCell ref="C4:C8"/>
    <mergeCell ref="Y27:AE27"/>
    <mergeCell ref="B30:B32"/>
    <mergeCell ref="D30:J30"/>
    <mergeCell ref="K30:Q30"/>
    <mergeCell ref="B27:B29"/>
    <mergeCell ref="D27:J27"/>
    <mergeCell ref="K27:Q27"/>
    <mergeCell ref="R27:X27"/>
    <mergeCell ref="K12:Q12"/>
    <mergeCell ref="R12:X12"/>
    <mergeCell ref="Y12:AE12"/>
    <mergeCell ref="Y18:AE18"/>
    <mergeCell ref="AG30:AH30"/>
    <mergeCell ref="R7:R8"/>
    <mergeCell ref="AF1:AH1"/>
    <mergeCell ref="A21:B23"/>
    <mergeCell ref="D21:J21"/>
    <mergeCell ref="K21:Q21"/>
    <mergeCell ref="R21:X21"/>
    <mergeCell ref="Y21:AE21"/>
    <mergeCell ref="AG21:AH21"/>
    <mergeCell ref="A24:B26"/>
    <mergeCell ref="D24:J24"/>
    <mergeCell ref="K24:Q24"/>
    <mergeCell ref="R24:X24"/>
    <mergeCell ref="Y24:AE24"/>
    <mergeCell ref="AG24:AH24"/>
    <mergeCell ref="AG12:AH12"/>
    <mergeCell ref="A15:B17"/>
    <mergeCell ref="D15:J15"/>
    <mergeCell ref="K15:Q15"/>
    <mergeCell ref="R15:X15"/>
    <mergeCell ref="A18:B20"/>
    <mergeCell ref="D18:J18"/>
    <mergeCell ref="K18:Q18"/>
    <mergeCell ref="R18:X18"/>
    <mergeCell ref="A12:B14"/>
    <mergeCell ref="D12:J12"/>
    <mergeCell ref="R45:X45"/>
    <mergeCell ref="Y45:AE45"/>
    <mergeCell ref="R33:X33"/>
    <mergeCell ref="Y33:AE33"/>
    <mergeCell ref="D34:J34"/>
    <mergeCell ref="K34:Q34"/>
    <mergeCell ref="K33:Q33"/>
    <mergeCell ref="AG49:AH49"/>
    <mergeCell ref="AG46:AH46"/>
    <mergeCell ref="AG43:AH43"/>
    <mergeCell ref="AG40:AH40"/>
    <mergeCell ref="AG33:AH33"/>
    <mergeCell ref="AG37:AH37"/>
    <mergeCell ref="R46:X46"/>
    <mergeCell ref="Y46:AE46"/>
    <mergeCell ref="Y40:AE40"/>
    <mergeCell ref="D33:J33"/>
    <mergeCell ref="B46:B48"/>
    <mergeCell ref="D46:J46"/>
    <mergeCell ref="K46:Q46"/>
    <mergeCell ref="A37:B39"/>
    <mergeCell ref="D37:J37"/>
    <mergeCell ref="K37:Q37"/>
    <mergeCell ref="R37:X37"/>
    <mergeCell ref="Y37:AE37"/>
    <mergeCell ref="A43:A51"/>
    <mergeCell ref="B43:B45"/>
    <mergeCell ref="D43:J43"/>
    <mergeCell ref="K43:Q43"/>
    <mergeCell ref="R43:X43"/>
    <mergeCell ref="B49:B51"/>
    <mergeCell ref="D49:J49"/>
    <mergeCell ref="K49:Q49"/>
    <mergeCell ref="R49:X49"/>
    <mergeCell ref="Y49:AE49"/>
    <mergeCell ref="D51:J51"/>
    <mergeCell ref="Y43:AE43"/>
    <mergeCell ref="A40:B42"/>
    <mergeCell ref="D40:J40"/>
    <mergeCell ref="K40:Q40"/>
    <mergeCell ref="R40:X40"/>
    <mergeCell ref="A82:AH82"/>
    <mergeCell ref="D5:J5"/>
    <mergeCell ref="D6:J6"/>
    <mergeCell ref="K5:Q5"/>
    <mergeCell ref="K6:Q6"/>
    <mergeCell ref="R5:X5"/>
    <mergeCell ref="R6:X6"/>
    <mergeCell ref="Y5:AE5"/>
    <mergeCell ref="Y6:AE6"/>
    <mergeCell ref="A3:B8"/>
    <mergeCell ref="C3:AE3"/>
    <mergeCell ref="A9:B11"/>
    <mergeCell ref="D9:J9"/>
    <mergeCell ref="K9:Q9"/>
    <mergeCell ref="R9:X9"/>
    <mergeCell ref="Y9:AE9"/>
    <mergeCell ref="A52:B53"/>
    <mergeCell ref="A27:A32"/>
    <mergeCell ref="D52:J52"/>
    <mergeCell ref="K52:Q52"/>
    <mergeCell ref="R52:X52"/>
    <mergeCell ref="Y15:AE15"/>
    <mergeCell ref="D76:J76"/>
    <mergeCell ref="K76:Q76"/>
    <mergeCell ref="Y52:AE52"/>
    <mergeCell ref="D54:J54"/>
    <mergeCell ref="R53:X53"/>
    <mergeCell ref="Y53:AE53"/>
    <mergeCell ref="K64:Q64"/>
    <mergeCell ref="R64:X64"/>
    <mergeCell ref="Y64:AE64"/>
    <mergeCell ref="AG52:AH52"/>
    <mergeCell ref="AG54:AH54"/>
    <mergeCell ref="AG56:AH56"/>
    <mergeCell ref="AG58:AH58"/>
    <mergeCell ref="AG60:AH60"/>
    <mergeCell ref="AG62:AH62"/>
    <mergeCell ref="R62:X62"/>
    <mergeCell ref="Y62:AE62"/>
    <mergeCell ref="A54:B55"/>
    <mergeCell ref="K54:Q54"/>
    <mergeCell ref="R54:X54"/>
    <mergeCell ref="Y54:AE54"/>
    <mergeCell ref="D56:J56"/>
    <mergeCell ref="K56:Q56"/>
    <mergeCell ref="R56:X56"/>
    <mergeCell ref="K66:Q66"/>
    <mergeCell ref="R66:X66"/>
    <mergeCell ref="Y66:AE66"/>
    <mergeCell ref="A58:B59"/>
    <mergeCell ref="D58:J58"/>
    <mergeCell ref="K58:Q58"/>
    <mergeCell ref="R58:X58"/>
    <mergeCell ref="Y58:AE58"/>
    <mergeCell ref="A60:B61"/>
    <mergeCell ref="D60:J60"/>
    <mergeCell ref="K60:Q60"/>
    <mergeCell ref="R60:X60"/>
    <mergeCell ref="Y60:AE60"/>
    <mergeCell ref="Y56:AE56"/>
    <mergeCell ref="A62:B63"/>
    <mergeCell ref="D62:J62"/>
    <mergeCell ref="K62:Q62"/>
    <mergeCell ref="A56:B57"/>
    <mergeCell ref="R59:X59"/>
    <mergeCell ref="Y59:AE59"/>
    <mergeCell ref="D57:J57"/>
    <mergeCell ref="D63:J63"/>
    <mergeCell ref="A76:B77"/>
    <mergeCell ref="D68:J68"/>
    <mergeCell ref="K68:Q68"/>
    <mergeCell ref="R68:X68"/>
    <mergeCell ref="Y68:AE68"/>
    <mergeCell ref="R65:X65"/>
    <mergeCell ref="Y65:AE65"/>
    <mergeCell ref="AG68:AH68"/>
    <mergeCell ref="D64:J64"/>
    <mergeCell ref="A70:B71"/>
    <mergeCell ref="A68:B69"/>
    <mergeCell ref="A66:B67"/>
    <mergeCell ref="D69:J69"/>
    <mergeCell ref="D70:J70"/>
    <mergeCell ref="K70:Q70"/>
    <mergeCell ref="R70:X70"/>
    <mergeCell ref="Y70:AE70"/>
    <mergeCell ref="R71:X71"/>
    <mergeCell ref="Y71:AE71"/>
    <mergeCell ref="AG64:AH64"/>
    <mergeCell ref="D66:J66"/>
    <mergeCell ref="AG66:AH66"/>
    <mergeCell ref="AG70:AH70"/>
    <mergeCell ref="A64:B65"/>
    <mergeCell ref="AG74:AH74"/>
    <mergeCell ref="D75:J75"/>
    <mergeCell ref="A72:B73"/>
    <mergeCell ref="AG76:AH76"/>
    <mergeCell ref="R76:X76"/>
    <mergeCell ref="Y76:AE76"/>
    <mergeCell ref="D72:J72"/>
    <mergeCell ref="K72:Q72"/>
    <mergeCell ref="R72:X72"/>
    <mergeCell ref="Y72:AE72"/>
    <mergeCell ref="T7:W7"/>
    <mergeCell ref="X7:X8"/>
    <mergeCell ref="Y7:Y8"/>
    <mergeCell ref="Z7:Z8"/>
    <mergeCell ref="AA7:AD7"/>
    <mergeCell ref="AE7:AE8"/>
    <mergeCell ref="D7:D8"/>
    <mergeCell ref="E7:E8"/>
    <mergeCell ref="J7:J8"/>
    <mergeCell ref="F7:I7"/>
    <mergeCell ref="M7:P7"/>
    <mergeCell ref="K7:K8"/>
    <mergeCell ref="L7:L8"/>
    <mergeCell ref="Q7:Q8"/>
    <mergeCell ref="S7:S8"/>
    <mergeCell ref="A81:AH81"/>
    <mergeCell ref="A83:AH83"/>
    <mergeCell ref="A78:B79"/>
    <mergeCell ref="D78:J78"/>
    <mergeCell ref="K78:Q78"/>
    <mergeCell ref="R78:X78"/>
    <mergeCell ref="Y78:AE78"/>
    <mergeCell ref="B33:B34"/>
    <mergeCell ref="A33:A36"/>
    <mergeCell ref="D35:J35"/>
    <mergeCell ref="K35:Q35"/>
    <mergeCell ref="R35:X35"/>
    <mergeCell ref="Y35:AE35"/>
    <mergeCell ref="AG35:AH35"/>
    <mergeCell ref="D36:J36"/>
    <mergeCell ref="K36:Q36"/>
    <mergeCell ref="B35:B36"/>
    <mergeCell ref="AG78:AH78"/>
    <mergeCell ref="AG72:AH72"/>
    <mergeCell ref="A74:B75"/>
    <mergeCell ref="D74:J74"/>
    <mergeCell ref="K74:Q74"/>
    <mergeCell ref="R74:X74"/>
    <mergeCell ref="Y74:AE74"/>
  </mergeCells>
  <pageMargins left="0.23622047244094491" right="0.23622047244094491" top="0.74803149606299213" bottom="0.74803149606299213" header="0.31496062992125984" footer="0.31496062992125984"/>
  <pageSetup paperSize="9" scale="45" fitToHeight="0" orientation="landscape" r:id="rId1"/>
  <rowBreaks count="2" manualBreakCount="2">
    <brk id="42" max="33" man="1"/>
    <brk id="71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zam</cp:lastModifiedBy>
  <cp:lastPrinted>2022-11-14T11:59:15Z</cp:lastPrinted>
  <dcterms:created xsi:type="dcterms:W3CDTF">2020-10-08T08:23:15Z</dcterms:created>
  <dcterms:modified xsi:type="dcterms:W3CDTF">2022-11-14T12:08:44Z</dcterms:modified>
</cp:coreProperties>
</file>